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ประกัน 1-2560\"/>
    </mc:Choice>
  </mc:AlternateContent>
  <bookViews>
    <workbookView xWindow="0" yWindow="0" windowWidth="24000" windowHeight="9495" activeTab="1"/>
  </bookViews>
  <sheets>
    <sheet name="2-2559" sheetId="43" r:id="rId1"/>
    <sheet name="1-2560" sheetId="44" r:id="rId2"/>
  </sheets>
  <definedNames>
    <definedName name="_xlnm.Print_Area" localSheetId="1">'1-2560'!$A$1:$L$325</definedName>
    <definedName name="_xlnm.Print_Area" localSheetId="0">'2-2559'!$A$1:$K$322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8" i="44" l="1"/>
  <c r="L309" i="44"/>
  <c r="L310" i="44"/>
  <c r="L307" i="44"/>
  <c r="L306" i="44"/>
  <c r="L305" i="44"/>
  <c r="L304" i="44"/>
  <c r="L303" i="44"/>
  <c r="L282" i="44"/>
  <c r="L283" i="44"/>
  <c r="L281" i="44"/>
  <c r="L279" i="44"/>
  <c r="L277" i="44"/>
  <c r="L254" i="44"/>
  <c r="L255" i="44"/>
  <c r="L256" i="44"/>
  <c r="L253" i="44"/>
  <c r="L252" i="44"/>
  <c r="L251" i="44"/>
  <c r="L250" i="44"/>
  <c r="L249" i="44"/>
  <c r="L227" i="44"/>
  <c r="L228" i="44"/>
  <c r="L229" i="44"/>
  <c r="L226" i="44"/>
  <c r="L225" i="44"/>
  <c r="L224" i="44"/>
  <c r="L223" i="44"/>
  <c r="L222" i="44"/>
  <c r="L196" i="44"/>
  <c r="L195" i="44"/>
  <c r="L173" i="44"/>
  <c r="L174" i="44"/>
  <c r="L175" i="44"/>
  <c r="L172" i="44"/>
  <c r="L171" i="44"/>
  <c r="L170" i="44"/>
  <c r="L169" i="44"/>
  <c r="L168" i="44"/>
  <c r="L146" i="44"/>
  <c r="L147" i="44"/>
  <c r="L148" i="44"/>
  <c r="L145" i="44"/>
  <c r="L144" i="44"/>
  <c r="L143" i="44"/>
  <c r="L142" i="44"/>
  <c r="L141" i="44"/>
  <c r="L119" i="44"/>
  <c r="L120" i="44"/>
  <c r="L121" i="44"/>
  <c r="L118" i="44"/>
  <c r="L117" i="44"/>
  <c r="L116" i="44"/>
  <c r="L115" i="44"/>
  <c r="L91" i="44"/>
  <c r="L92" i="44"/>
  <c r="L93" i="44"/>
  <c r="L90" i="44"/>
  <c r="L89" i="44"/>
  <c r="L88" i="44"/>
  <c r="L87" i="44"/>
  <c r="L86" i="44"/>
  <c r="L64" i="44"/>
  <c r="L65" i="44"/>
  <c r="L66" i="44"/>
  <c r="L63" i="44"/>
  <c r="L62" i="44"/>
  <c r="L61" i="44"/>
  <c r="L60" i="44"/>
  <c r="L59" i="44"/>
  <c r="L37" i="44"/>
  <c r="L38" i="44"/>
  <c r="L39" i="44"/>
  <c r="L36" i="44"/>
  <c r="L35" i="44"/>
  <c r="L34" i="44"/>
  <c r="L33" i="44"/>
  <c r="L32" i="44"/>
  <c r="L12" i="44"/>
  <c r="L13" i="44"/>
  <c r="L14" i="44"/>
  <c r="L11" i="44"/>
  <c r="L10" i="44"/>
  <c r="L9" i="44"/>
  <c r="L8" i="44"/>
  <c r="L7" i="44"/>
  <c r="G324" i="44" l="1"/>
  <c r="H324" i="44"/>
  <c r="I324" i="44"/>
  <c r="J324" i="44"/>
  <c r="K324" i="44"/>
  <c r="F324" i="44"/>
  <c r="B324" i="44"/>
  <c r="C311" i="44"/>
  <c r="D311" i="44"/>
  <c r="E311" i="44"/>
  <c r="G311" i="44"/>
  <c r="H311" i="44"/>
  <c r="I311" i="44"/>
  <c r="J311" i="44"/>
  <c r="K311" i="44"/>
  <c r="B311" i="44"/>
  <c r="H297" i="44"/>
  <c r="I297" i="44"/>
  <c r="J297" i="44"/>
  <c r="K297" i="44"/>
  <c r="G297" i="44"/>
  <c r="B297" i="44"/>
  <c r="E284" i="44"/>
  <c r="F284" i="44"/>
  <c r="G284" i="44"/>
  <c r="H284" i="44"/>
  <c r="I284" i="44"/>
  <c r="J284" i="44"/>
  <c r="K284" i="44"/>
  <c r="D284" i="44"/>
  <c r="B284" i="44"/>
  <c r="F270" i="44"/>
  <c r="G270" i="44"/>
  <c r="H270" i="44"/>
  <c r="I270" i="44"/>
  <c r="J270" i="44"/>
  <c r="K270" i="44"/>
  <c r="E270" i="44"/>
  <c r="B270" i="44"/>
  <c r="C257" i="44"/>
  <c r="D257" i="44"/>
  <c r="E257" i="44"/>
  <c r="F257" i="44"/>
  <c r="G257" i="44"/>
  <c r="H257" i="44"/>
  <c r="I257" i="44"/>
  <c r="J257" i="44"/>
  <c r="K257" i="44"/>
  <c r="B257" i="44"/>
  <c r="F243" i="44"/>
  <c r="G243" i="44"/>
  <c r="H243" i="44"/>
  <c r="I243" i="44"/>
  <c r="J243" i="44"/>
  <c r="K243" i="44"/>
  <c r="E243" i="44"/>
  <c r="B243" i="44"/>
  <c r="C230" i="44"/>
  <c r="D230" i="44"/>
  <c r="E230" i="44"/>
  <c r="F230" i="44"/>
  <c r="G230" i="44"/>
  <c r="H230" i="44"/>
  <c r="I230" i="44"/>
  <c r="J230" i="44"/>
  <c r="K230" i="44"/>
  <c r="B230" i="44"/>
  <c r="G216" i="44"/>
  <c r="H216" i="44"/>
  <c r="I216" i="44"/>
  <c r="J216" i="44"/>
  <c r="K216" i="44"/>
  <c r="F216" i="44"/>
  <c r="B216" i="44"/>
  <c r="C203" i="44"/>
  <c r="D203" i="44"/>
  <c r="E203" i="44"/>
  <c r="F203" i="44"/>
  <c r="G203" i="44"/>
  <c r="H203" i="44"/>
  <c r="I203" i="44"/>
  <c r="J203" i="44"/>
  <c r="K203" i="44"/>
  <c r="B203" i="44"/>
  <c r="G189" i="44"/>
  <c r="H189" i="44"/>
  <c r="I189" i="44"/>
  <c r="J189" i="44"/>
  <c r="K189" i="44"/>
  <c r="F189" i="44"/>
  <c r="B189" i="44"/>
  <c r="C176" i="44"/>
  <c r="D176" i="44"/>
  <c r="E176" i="44"/>
  <c r="F176" i="44"/>
  <c r="G176" i="44"/>
  <c r="H176" i="44"/>
  <c r="I176" i="44"/>
  <c r="J176" i="44"/>
  <c r="K176" i="44"/>
  <c r="B176" i="44"/>
  <c r="G162" i="44"/>
  <c r="H162" i="44"/>
  <c r="I162" i="44"/>
  <c r="J162" i="44"/>
  <c r="K162" i="44"/>
  <c r="F162" i="44"/>
  <c r="B162" i="44"/>
  <c r="C149" i="44"/>
  <c r="D149" i="44"/>
  <c r="E149" i="44"/>
  <c r="F149" i="44"/>
  <c r="G149" i="44"/>
  <c r="H149" i="44"/>
  <c r="I149" i="44"/>
  <c r="J149" i="44"/>
  <c r="K149" i="44"/>
  <c r="B149" i="44"/>
  <c r="G135" i="44"/>
  <c r="H135" i="44"/>
  <c r="I135" i="44"/>
  <c r="J135" i="44"/>
  <c r="K135" i="44"/>
  <c r="F135" i="44"/>
  <c r="B135" i="44"/>
  <c r="I119" i="44"/>
  <c r="C122" i="44"/>
  <c r="D122" i="44"/>
  <c r="E122" i="44"/>
  <c r="F122" i="44"/>
  <c r="G122" i="44"/>
  <c r="H122" i="44"/>
  <c r="I122" i="44"/>
  <c r="J122" i="44"/>
  <c r="K122" i="44"/>
  <c r="B122" i="44"/>
  <c r="G107" i="44"/>
  <c r="H107" i="44"/>
  <c r="I107" i="44"/>
  <c r="J107" i="44"/>
  <c r="K107" i="44"/>
  <c r="F107" i="44"/>
  <c r="B107" i="44"/>
  <c r="L103" i="44"/>
  <c r="C94" i="44"/>
  <c r="D94" i="44"/>
  <c r="E94" i="44"/>
  <c r="F94" i="44"/>
  <c r="G94" i="44"/>
  <c r="H94" i="44"/>
  <c r="I94" i="44"/>
  <c r="J94" i="44"/>
  <c r="K94" i="44"/>
  <c r="B94" i="44"/>
  <c r="F80" i="44"/>
  <c r="G80" i="44"/>
  <c r="H80" i="44"/>
  <c r="I80" i="44"/>
  <c r="J80" i="44"/>
  <c r="E80" i="44"/>
  <c r="B80" i="44"/>
  <c r="K67" i="44"/>
  <c r="C67" i="44"/>
  <c r="D67" i="44"/>
  <c r="E67" i="44"/>
  <c r="F67" i="44"/>
  <c r="G67" i="44"/>
  <c r="H67" i="44"/>
  <c r="I67" i="44"/>
  <c r="J67" i="44"/>
  <c r="I66" i="44"/>
  <c r="B67" i="44"/>
  <c r="F53" i="44"/>
  <c r="G53" i="44"/>
  <c r="H53" i="44"/>
  <c r="I53" i="44"/>
  <c r="J53" i="44"/>
  <c r="K53" i="44"/>
  <c r="E53" i="44"/>
  <c r="B53" i="44"/>
  <c r="C40" i="44"/>
  <c r="D40" i="44"/>
  <c r="E40" i="44"/>
  <c r="F40" i="44"/>
  <c r="G40" i="44"/>
  <c r="H40" i="44"/>
  <c r="I40" i="44"/>
  <c r="J40" i="44"/>
  <c r="K40" i="44"/>
  <c r="B40" i="44"/>
  <c r="G27" i="44"/>
  <c r="H27" i="44"/>
  <c r="I27" i="44"/>
  <c r="J27" i="44"/>
  <c r="K27" i="44"/>
  <c r="F27" i="44"/>
  <c r="B27" i="44"/>
  <c r="J15" i="44"/>
  <c r="C15" i="44"/>
  <c r="D15" i="44"/>
  <c r="E15" i="44"/>
  <c r="F15" i="44"/>
  <c r="G15" i="44"/>
  <c r="H15" i="44"/>
  <c r="I15" i="44"/>
  <c r="K15" i="44"/>
  <c r="B15" i="44"/>
  <c r="B322" i="44" l="1"/>
  <c r="B321" i="44"/>
  <c r="B320" i="44"/>
  <c r="B319" i="44"/>
  <c r="L319" i="44" s="1"/>
  <c r="B318" i="44"/>
  <c r="L318" i="44" s="1"/>
  <c r="B317" i="44"/>
  <c r="L317" i="44" s="1"/>
  <c r="G316" i="44"/>
  <c r="B316" i="44"/>
  <c r="B309" i="44"/>
  <c r="I309" i="44" s="1"/>
  <c r="B308" i="44"/>
  <c r="I308" i="44" s="1"/>
  <c r="B307" i="44"/>
  <c r="I307" i="44" s="1"/>
  <c r="B306" i="44"/>
  <c r="I305" i="44"/>
  <c r="G305" i="44"/>
  <c r="F305" i="44"/>
  <c r="B305" i="44"/>
  <c r="H305" i="44" s="1"/>
  <c r="B304" i="44"/>
  <c r="G304" i="44" s="1"/>
  <c r="E303" i="44"/>
  <c r="D303" i="44"/>
  <c r="C303" i="44"/>
  <c r="B303" i="44"/>
  <c r="L292" i="44"/>
  <c r="L290" i="44"/>
  <c r="B268" i="44"/>
  <c r="B267" i="44"/>
  <c r="B266" i="44"/>
  <c r="B265" i="44"/>
  <c r="L265" i="44" s="1"/>
  <c r="K264" i="44"/>
  <c r="I264" i="44"/>
  <c r="B264" i="44"/>
  <c r="K263" i="44"/>
  <c r="I263" i="44"/>
  <c r="H263" i="44"/>
  <c r="G263" i="44"/>
  <c r="B263" i="44"/>
  <c r="K262" i="44"/>
  <c r="I262" i="44"/>
  <c r="H262" i="44"/>
  <c r="G262" i="44"/>
  <c r="F262" i="44"/>
  <c r="B262" i="44"/>
  <c r="B255" i="44"/>
  <c r="H254" i="44"/>
  <c r="B254" i="44"/>
  <c r="H253" i="44"/>
  <c r="G253" i="44"/>
  <c r="B253" i="44"/>
  <c r="F252" i="44"/>
  <c r="B252" i="44"/>
  <c r="K251" i="44"/>
  <c r="I251" i="44"/>
  <c r="G251" i="44"/>
  <c r="F251" i="44"/>
  <c r="E251" i="44"/>
  <c r="B251" i="44"/>
  <c r="K250" i="44"/>
  <c r="H250" i="44"/>
  <c r="F250" i="44"/>
  <c r="E250" i="44"/>
  <c r="D250" i="44"/>
  <c r="B250" i="44"/>
  <c r="K249" i="44"/>
  <c r="E249" i="44"/>
  <c r="D249" i="44"/>
  <c r="C249" i="44"/>
  <c r="B249" i="44"/>
  <c r="B241" i="44"/>
  <c r="B240" i="44"/>
  <c r="B239" i="44"/>
  <c r="K238" i="44"/>
  <c r="I238" i="44"/>
  <c r="B238" i="44"/>
  <c r="K237" i="44"/>
  <c r="I237" i="44"/>
  <c r="H237" i="44"/>
  <c r="B237" i="44"/>
  <c r="K236" i="44"/>
  <c r="I236" i="44"/>
  <c r="H236" i="44"/>
  <c r="G236" i="44"/>
  <c r="B236" i="44"/>
  <c r="K235" i="44"/>
  <c r="H235" i="44"/>
  <c r="G235" i="44"/>
  <c r="F235" i="44"/>
  <c r="B235" i="44"/>
  <c r="B228" i="44"/>
  <c r="H227" i="44"/>
  <c r="B227" i="44"/>
  <c r="G226" i="44"/>
  <c r="B226" i="44"/>
  <c r="G225" i="44"/>
  <c r="F225" i="44"/>
  <c r="B225" i="44"/>
  <c r="F224" i="44"/>
  <c r="E224" i="44"/>
  <c r="B224" i="44"/>
  <c r="E223" i="44"/>
  <c r="D223" i="44"/>
  <c r="B223" i="44"/>
  <c r="K222" i="44"/>
  <c r="E222" i="44"/>
  <c r="D222" i="44"/>
  <c r="C222" i="44"/>
  <c r="B222" i="44"/>
  <c r="L209" i="44"/>
  <c r="L208" i="44"/>
  <c r="G196" i="44"/>
  <c r="B187" i="44"/>
  <c r="B185" i="44"/>
  <c r="B184" i="44"/>
  <c r="L184" i="44" s="1"/>
  <c r="L183" i="44"/>
  <c r="K182" i="44"/>
  <c r="H182" i="44"/>
  <c r="G182" i="44"/>
  <c r="B182" i="44"/>
  <c r="K181" i="44"/>
  <c r="H181" i="44"/>
  <c r="G181" i="44"/>
  <c r="F181" i="44"/>
  <c r="B181" i="44"/>
  <c r="B174" i="44"/>
  <c r="B172" i="44"/>
  <c r="B171" i="44"/>
  <c r="K169" i="44"/>
  <c r="G169" i="44"/>
  <c r="F169" i="44"/>
  <c r="E169" i="44"/>
  <c r="D169" i="44"/>
  <c r="B169" i="44"/>
  <c r="G168" i="44"/>
  <c r="E168" i="44"/>
  <c r="D168" i="44"/>
  <c r="C168" i="44"/>
  <c r="B168" i="44"/>
  <c r="B160" i="44"/>
  <c r="B159" i="44"/>
  <c r="B158" i="44"/>
  <c r="K157" i="44"/>
  <c r="I157" i="44"/>
  <c r="B157" i="44"/>
  <c r="I156" i="44"/>
  <c r="B156" i="44"/>
  <c r="L156" i="44" s="1"/>
  <c r="K155" i="44"/>
  <c r="I155" i="44"/>
  <c r="H155" i="44"/>
  <c r="G155" i="44"/>
  <c r="B155" i="44"/>
  <c r="B154" i="44"/>
  <c r="L154" i="44" s="1"/>
  <c r="B147" i="44"/>
  <c r="I147" i="44" s="1"/>
  <c r="B146" i="44"/>
  <c r="I146" i="44" s="1"/>
  <c r="H145" i="44"/>
  <c r="G145" i="44"/>
  <c r="B145" i="44"/>
  <c r="H144" i="44"/>
  <c r="G144" i="44"/>
  <c r="F144" i="44"/>
  <c r="B144" i="44"/>
  <c r="K143" i="44"/>
  <c r="I143" i="44"/>
  <c r="G143" i="44"/>
  <c r="F143" i="44"/>
  <c r="E143" i="44"/>
  <c r="B143" i="44"/>
  <c r="K142" i="44"/>
  <c r="F142" i="44"/>
  <c r="E142" i="44"/>
  <c r="D142" i="44"/>
  <c r="B142" i="44"/>
  <c r="B141" i="44"/>
  <c r="F141" i="44" s="1"/>
  <c r="B132" i="44"/>
  <c r="B130" i="44"/>
  <c r="L130" i="44" s="1"/>
  <c r="L129" i="44"/>
  <c r="L128" i="44"/>
  <c r="L127" i="44"/>
  <c r="B119" i="44"/>
  <c r="I118" i="44"/>
  <c r="B117" i="44"/>
  <c r="H116" i="44"/>
  <c r="G115" i="44"/>
  <c r="F114" i="44"/>
  <c r="B105" i="44"/>
  <c r="B104" i="44"/>
  <c r="B103" i="44"/>
  <c r="K102" i="44"/>
  <c r="I102" i="44"/>
  <c r="B102" i="44"/>
  <c r="I101" i="44"/>
  <c r="B101" i="44"/>
  <c r="L101" i="44" s="1"/>
  <c r="K100" i="44"/>
  <c r="I100" i="44"/>
  <c r="H100" i="44"/>
  <c r="G100" i="44"/>
  <c r="B100" i="44"/>
  <c r="H99" i="44"/>
  <c r="G99" i="44"/>
  <c r="B99" i="44"/>
  <c r="B92" i="44"/>
  <c r="I92" i="44" s="1"/>
  <c r="H91" i="44"/>
  <c r="B91" i="44"/>
  <c r="I91" i="44" s="1"/>
  <c r="H90" i="44"/>
  <c r="G90" i="44"/>
  <c r="B90" i="44"/>
  <c r="I90" i="44" s="1"/>
  <c r="F89" i="44"/>
  <c r="B89" i="44"/>
  <c r="I89" i="44" s="1"/>
  <c r="G88" i="44"/>
  <c r="F88" i="44"/>
  <c r="E88" i="44"/>
  <c r="B88" i="44"/>
  <c r="H88" i="44" s="1"/>
  <c r="F87" i="44"/>
  <c r="E87" i="44"/>
  <c r="D87" i="44"/>
  <c r="B87" i="44"/>
  <c r="G87" i="44" s="1"/>
  <c r="G86" i="44"/>
  <c r="E86" i="44"/>
  <c r="D86" i="44"/>
  <c r="C86" i="44"/>
  <c r="B86" i="44"/>
  <c r="L76" i="44"/>
  <c r="L75" i="44"/>
  <c r="L74" i="44"/>
  <c r="K73" i="44"/>
  <c r="H73" i="44"/>
  <c r="G73" i="44"/>
  <c r="F73" i="44"/>
  <c r="B73" i="44"/>
  <c r="L72" i="44"/>
  <c r="I65" i="44"/>
  <c r="I64" i="44"/>
  <c r="I63" i="44"/>
  <c r="I62" i="44"/>
  <c r="K60" i="44"/>
  <c r="E60" i="44"/>
  <c r="D60" i="44"/>
  <c r="B60" i="44"/>
  <c r="E59" i="44"/>
  <c r="B51" i="44"/>
  <c r="B50" i="44"/>
  <c r="K49" i="44"/>
  <c r="I49" i="44"/>
  <c r="B49" i="44"/>
  <c r="K48" i="44"/>
  <c r="I48" i="44"/>
  <c r="B48" i="44"/>
  <c r="K47" i="44"/>
  <c r="I47" i="44"/>
  <c r="H47" i="44"/>
  <c r="B47" i="44"/>
  <c r="K46" i="44"/>
  <c r="I46" i="44"/>
  <c r="H46" i="44"/>
  <c r="G46" i="44"/>
  <c r="B46" i="44"/>
  <c r="K45" i="44"/>
  <c r="I45" i="44"/>
  <c r="H45" i="44"/>
  <c r="G45" i="44"/>
  <c r="F45" i="44"/>
  <c r="E45" i="44"/>
  <c r="B45" i="44"/>
  <c r="B38" i="44"/>
  <c r="H37" i="44"/>
  <c r="B37" i="44"/>
  <c r="H36" i="44"/>
  <c r="G36" i="44"/>
  <c r="B36" i="44"/>
  <c r="G35" i="44"/>
  <c r="F35" i="44"/>
  <c r="B35" i="44"/>
  <c r="I34" i="44"/>
  <c r="F34" i="44"/>
  <c r="E34" i="44"/>
  <c r="B34" i="44"/>
  <c r="H34" i="44" s="1"/>
  <c r="H33" i="44"/>
  <c r="E33" i="44"/>
  <c r="D33" i="44"/>
  <c r="B33" i="44"/>
  <c r="G33" i="44" s="1"/>
  <c r="I32" i="44"/>
  <c r="H32" i="44"/>
  <c r="G32" i="44"/>
  <c r="E32" i="44"/>
  <c r="D32" i="44"/>
  <c r="C32" i="44"/>
  <c r="B32" i="44"/>
  <c r="B24" i="44"/>
  <c r="L22" i="44"/>
  <c r="L21" i="44"/>
  <c r="L20" i="44"/>
  <c r="L19" i="44"/>
  <c r="B12" i="44"/>
  <c r="I11" i="44"/>
  <c r="I10" i="44"/>
  <c r="H9" i="44"/>
  <c r="G8" i="44"/>
  <c r="F7" i="44"/>
  <c r="I144" i="44" l="1"/>
  <c r="L102" i="44"/>
  <c r="L235" i="44"/>
  <c r="I145" i="44"/>
  <c r="I38" i="44"/>
  <c r="L47" i="44"/>
  <c r="L182" i="44"/>
  <c r="I225" i="44"/>
  <c r="L48" i="44"/>
  <c r="I306" i="44"/>
  <c r="L263" i="44"/>
  <c r="L73" i="44"/>
  <c r="K80" i="44"/>
  <c r="I252" i="44"/>
  <c r="I228" i="44"/>
  <c r="I35" i="44"/>
  <c r="I36" i="44"/>
  <c r="I37" i="44"/>
  <c r="L155" i="44"/>
  <c r="L237" i="44"/>
  <c r="L238" i="44"/>
  <c r="I254" i="44"/>
  <c r="I117" i="44"/>
  <c r="H143" i="44"/>
  <c r="L157" i="44"/>
  <c r="H251" i="44"/>
  <c r="I227" i="44"/>
  <c r="L264" i="44"/>
  <c r="L46" i="44"/>
  <c r="L49" i="44"/>
  <c r="L114" i="44"/>
  <c r="L181" i="44"/>
  <c r="G250" i="44"/>
  <c r="I253" i="44"/>
  <c r="I255" i="44"/>
  <c r="G142" i="44"/>
  <c r="L100" i="44"/>
  <c r="I226" i="44"/>
  <c r="L236" i="44"/>
  <c r="L262" i="44"/>
  <c r="F303" i="44"/>
  <c r="F311" i="44" s="1"/>
  <c r="L316" i="44"/>
  <c r="F32" i="44"/>
  <c r="L45" i="44"/>
  <c r="L99" i="44"/>
  <c r="G195" i="43"/>
  <c r="E167" i="43"/>
  <c r="D167" i="43"/>
  <c r="I117" i="43"/>
  <c r="K117" i="43" s="1"/>
  <c r="I119" i="43"/>
  <c r="K119" i="43" s="1"/>
  <c r="H115" i="43"/>
  <c r="K115" i="43" s="1"/>
  <c r="G114" i="43"/>
  <c r="K114" i="43" s="1"/>
  <c r="F113" i="43"/>
  <c r="K113" i="43" s="1"/>
  <c r="K64" i="43"/>
  <c r="E59" i="43"/>
  <c r="I63" i="43"/>
  <c r="K63" i="43" s="1"/>
  <c r="I64" i="43"/>
  <c r="I65" i="43"/>
  <c r="K65" i="43" s="1"/>
  <c r="I62" i="43"/>
  <c r="K62" i="43" s="1"/>
  <c r="K13" i="43" l="1"/>
  <c r="I11" i="43"/>
  <c r="K11" i="43" s="1"/>
  <c r="I10" i="43"/>
  <c r="K10" i="43" s="1"/>
  <c r="H9" i="43"/>
  <c r="K9" i="43" s="1"/>
  <c r="G8" i="43"/>
  <c r="K8" i="43" s="1"/>
  <c r="F7" i="43"/>
  <c r="K7" i="43" s="1"/>
  <c r="E240" i="43" l="1"/>
  <c r="E267" i="43" l="1"/>
  <c r="E78" i="43" l="1"/>
  <c r="K71" i="43"/>
  <c r="F66" i="43"/>
  <c r="G66" i="43"/>
  <c r="C66" i="43"/>
  <c r="J72" i="43" l="1"/>
  <c r="J78" i="43" s="1"/>
  <c r="H72" i="43"/>
  <c r="G72" i="43"/>
  <c r="F72" i="43"/>
  <c r="B72" i="43"/>
  <c r="J60" i="43"/>
  <c r="E60" i="43"/>
  <c r="E66" i="43" s="1"/>
  <c r="D60" i="43"/>
  <c r="D66" i="43" s="1"/>
  <c r="B60" i="43"/>
  <c r="J262" i="43" l="1"/>
  <c r="J261" i="43"/>
  <c r="J260" i="43"/>
  <c r="I262" i="43"/>
  <c r="I261" i="43"/>
  <c r="I260" i="43"/>
  <c r="H261" i="43"/>
  <c r="H260" i="43"/>
  <c r="G261" i="43"/>
  <c r="G260" i="43"/>
  <c r="F260" i="43"/>
  <c r="J254" i="43"/>
  <c r="J253" i="43"/>
  <c r="J252" i="43"/>
  <c r="J251" i="43"/>
  <c r="J250" i="43"/>
  <c r="J249" i="43"/>
  <c r="J248" i="43"/>
  <c r="I250" i="43"/>
  <c r="H253" i="43"/>
  <c r="H252" i="43"/>
  <c r="H249" i="43"/>
  <c r="G252" i="43"/>
  <c r="G250" i="43"/>
  <c r="F251" i="43"/>
  <c r="F250" i="43"/>
  <c r="F249" i="43"/>
  <c r="E250" i="43"/>
  <c r="E249" i="43"/>
  <c r="E248" i="43"/>
  <c r="D249" i="43"/>
  <c r="D248" i="43"/>
  <c r="C248" i="43"/>
  <c r="B266" i="43"/>
  <c r="B265" i="43"/>
  <c r="B264" i="43"/>
  <c r="B263" i="43"/>
  <c r="B262" i="43"/>
  <c r="B261" i="43"/>
  <c r="B260" i="43"/>
  <c r="B254" i="43"/>
  <c r="I254" i="43" s="1"/>
  <c r="K254" i="43" s="1"/>
  <c r="B253" i="43"/>
  <c r="B252" i="43"/>
  <c r="I252" i="43" s="1"/>
  <c r="K252" i="43" s="1"/>
  <c r="B251" i="43"/>
  <c r="B250" i="43"/>
  <c r="H250" i="43" s="1"/>
  <c r="K250" i="43" s="1"/>
  <c r="B249" i="43"/>
  <c r="B248" i="43"/>
  <c r="K248" i="43" s="1"/>
  <c r="J168" i="43"/>
  <c r="G168" i="43"/>
  <c r="G167" i="43"/>
  <c r="F168" i="43"/>
  <c r="E168" i="43"/>
  <c r="D168" i="43"/>
  <c r="C167" i="43"/>
  <c r="J180" i="43"/>
  <c r="J179" i="43"/>
  <c r="H180" i="43"/>
  <c r="H179" i="43"/>
  <c r="G180" i="43"/>
  <c r="G179" i="43"/>
  <c r="F179" i="43"/>
  <c r="B185" i="43"/>
  <c r="B183" i="43"/>
  <c r="B182" i="43"/>
  <c r="B180" i="43"/>
  <c r="B179" i="43"/>
  <c r="B173" i="43"/>
  <c r="B168" i="43"/>
  <c r="B167" i="43"/>
  <c r="B158" i="43"/>
  <c r="B157" i="43"/>
  <c r="B156" i="43"/>
  <c r="B155" i="43"/>
  <c r="B154" i="43"/>
  <c r="B153" i="43"/>
  <c r="B152" i="43"/>
  <c r="J144" i="43"/>
  <c r="J143" i="43"/>
  <c r="J142" i="43"/>
  <c r="J141" i="43"/>
  <c r="I142" i="43"/>
  <c r="H144" i="43"/>
  <c r="H143" i="43"/>
  <c r="G144" i="43"/>
  <c r="G143" i="43"/>
  <c r="G142" i="43"/>
  <c r="F143" i="43"/>
  <c r="F142" i="43"/>
  <c r="F141" i="43"/>
  <c r="E142" i="43"/>
  <c r="E141" i="43"/>
  <c r="D141" i="43"/>
  <c r="B146" i="43"/>
  <c r="I146" i="43" s="1"/>
  <c r="K146" i="43" s="1"/>
  <c r="B143" i="43"/>
  <c r="I143" i="43" s="1"/>
  <c r="K143" i="43" s="1"/>
  <c r="B142" i="43"/>
  <c r="H142" i="43" s="1"/>
  <c r="K142" i="43" s="1"/>
  <c r="J155" i="43"/>
  <c r="J153" i="43"/>
  <c r="I155" i="43"/>
  <c r="I154" i="43"/>
  <c r="I153" i="43"/>
  <c r="H153" i="43"/>
  <c r="G153" i="43"/>
  <c r="B141" i="43"/>
  <c r="G141" i="43" s="1"/>
  <c r="K141" i="43" s="1"/>
  <c r="B144" i="43"/>
  <c r="J101" i="43"/>
  <c r="J99" i="43"/>
  <c r="I101" i="43"/>
  <c r="I100" i="43"/>
  <c r="I99" i="43"/>
  <c r="H99" i="43"/>
  <c r="H98" i="43"/>
  <c r="G99" i="43"/>
  <c r="G98" i="43"/>
  <c r="H91" i="43"/>
  <c r="H90" i="43"/>
  <c r="G90" i="43"/>
  <c r="G88" i="43"/>
  <c r="G86" i="43"/>
  <c r="F89" i="43"/>
  <c r="F88" i="43"/>
  <c r="F87" i="43"/>
  <c r="E88" i="43"/>
  <c r="E87" i="43"/>
  <c r="E86" i="43"/>
  <c r="D87" i="43"/>
  <c r="D86" i="43"/>
  <c r="C86" i="43"/>
  <c r="B104" i="43"/>
  <c r="B103" i="43"/>
  <c r="B102" i="43"/>
  <c r="B101" i="43"/>
  <c r="B100" i="43"/>
  <c r="B99" i="43"/>
  <c r="B98" i="43"/>
  <c r="B92" i="43"/>
  <c r="I92" i="43" s="1"/>
  <c r="K92" i="43" s="1"/>
  <c r="B91" i="43"/>
  <c r="I91" i="43" s="1"/>
  <c r="K91" i="43" s="1"/>
  <c r="B88" i="43"/>
  <c r="H88" i="43" s="1"/>
  <c r="B87" i="43"/>
  <c r="G87" i="43" s="1"/>
  <c r="B86" i="43"/>
  <c r="B90" i="43"/>
  <c r="I90" i="43" s="1"/>
  <c r="K90" i="43" s="1"/>
  <c r="B89" i="43"/>
  <c r="I89" i="43" s="1"/>
  <c r="K89" i="43" s="1"/>
  <c r="J305" i="43"/>
  <c r="I304" i="43"/>
  <c r="G304" i="43"/>
  <c r="F304" i="43"/>
  <c r="E302" i="43"/>
  <c r="D302" i="43"/>
  <c r="C302" i="43"/>
  <c r="G314" i="43"/>
  <c r="B320" i="43"/>
  <c r="B319" i="43"/>
  <c r="B318" i="43"/>
  <c r="B317" i="43"/>
  <c r="B316" i="43"/>
  <c r="B315" i="43"/>
  <c r="B314" i="43"/>
  <c r="B308" i="43"/>
  <c r="I308" i="43" s="1"/>
  <c r="K308" i="43" s="1"/>
  <c r="B305" i="43"/>
  <c r="I305" i="43" s="1"/>
  <c r="K305" i="43" s="1"/>
  <c r="B302" i="43"/>
  <c r="F302" i="43" s="1"/>
  <c r="J38" i="43"/>
  <c r="J37" i="43"/>
  <c r="J36" i="43"/>
  <c r="J35" i="43"/>
  <c r="J34" i="43"/>
  <c r="J33" i="43"/>
  <c r="J32" i="43"/>
  <c r="I34" i="43"/>
  <c r="I32" i="43"/>
  <c r="H37" i="43"/>
  <c r="H36" i="43"/>
  <c r="H33" i="43"/>
  <c r="H32" i="43"/>
  <c r="G36" i="43"/>
  <c r="G35" i="43"/>
  <c r="G32" i="43"/>
  <c r="F35" i="43"/>
  <c r="F34" i="43"/>
  <c r="E34" i="43"/>
  <c r="E33" i="43"/>
  <c r="E32" i="43"/>
  <c r="D33" i="43"/>
  <c r="D32" i="43"/>
  <c r="C32" i="43"/>
  <c r="J48" i="43"/>
  <c r="J47" i="43"/>
  <c r="J46" i="43"/>
  <c r="J45" i="43"/>
  <c r="J44" i="43"/>
  <c r="I48" i="43"/>
  <c r="I47" i="43"/>
  <c r="I46" i="43"/>
  <c r="I45" i="43"/>
  <c r="I44" i="43"/>
  <c r="H46" i="43"/>
  <c r="H45" i="43"/>
  <c r="H44" i="43"/>
  <c r="G45" i="43"/>
  <c r="G44" i="43"/>
  <c r="F44" i="43"/>
  <c r="E44" i="43"/>
  <c r="B50" i="43"/>
  <c r="B49" i="43"/>
  <c r="B48" i="43"/>
  <c r="B47" i="43"/>
  <c r="B46" i="43"/>
  <c r="B45" i="43"/>
  <c r="B44" i="43"/>
  <c r="B38" i="43"/>
  <c r="I38" i="43" s="1"/>
  <c r="K38" i="43" s="1"/>
  <c r="B37" i="43"/>
  <c r="I37" i="43" s="1"/>
  <c r="K37" i="43" s="1"/>
  <c r="B36" i="43"/>
  <c r="I36" i="43" s="1"/>
  <c r="K36" i="43" s="1"/>
  <c r="B35" i="43"/>
  <c r="I35" i="43" s="1"/>
  <c r="K35" i="43" s="1"/>
  <c r="B34" i="43"/>
  <c r="H34" i="43" s="1"/>
  <c r="K34" i="43" s="1"/>
  <c r="B33" i="43"/>
  <c r="G33" i="43" s="1"/>
  <c r="K33" i="43" s="1"/>
  <c r="B32" i="43"/>
  <c r="F32" i="43" s="1"/>
  <c r="K32" i="43" s="1"/>
  <c r="J227" i="43"/>
  <c r="J226" i="43"/>
  <c r="J225" i="43"/>
  <c r="J224" i="43"/>
  <c r="J223" i="43"/>
  <c r="J222" i="43"/>
  <c r="J221" i="43"/>
  <c r="H226" i="43"/>
  <c r="G225" i="43"/>
  <c r="G224" i="43"/>
  <c r="F224" i="43"/>
  <c r="F223" i="43"/>
  <c r="E223" i="43"/>
  <c r="E222" i="43"/>
  <c r="E221" i="43"/>
  <c r="D222" i="43"/>
  <c r="D221" i="43"/>
  <c r="C221" i="43"/>
  <c r="J236" i="43"/>
  <c r="J235" i="43"/>
  <c r="J234" i="43"/>
  <c r="J233" i="43"/>
  <c r="I236" i="43"/>
  <c r="I235" i="43"/>
  <c r="I234" i="43"/>
  <c r="H235" i="43"/>
  <c r="H234" i="43"/>
  <c r="H233" i="43"/>
  <c r="G234" i="43"/>
  <c r="G233" i="43"/>
  <c r="F233" i="43"/>
  <c r="B239" i="43"/>
  <c r="B238" i="43"/>
  <c r="B237" i="43"/>
  <c r="B236" i="43"/>
  <c r="B235" i="43"/>
  <c r="B234" i="43"/>
  <c r="B233" i="43"/>
  <c r="B227" i="43"/>
  <c r="I227" i="43" s="1"/>
  <c r="B226" i="43"/>
  <c r="I226" i="43" s="1"/>
  <c r="B225" i="43"/>
  <c r="B224" i="43"/>
  <c r="I224" i="43" s="1"/>
  <c r="B223" i="43"/>
  <c r="B222" i="43"/>
  <c r="B221" i="43"/>
  <c r="I144" i="43" l="1"/>
  <c r="K144" i="43" s="1"/>
  <c r="I251" i="43"/>
  <c r="K251" i="43" s="1"/>
  <c r="B267" i="43"/>
  <c r="I225" i="43"/>
  <c r="G249" i="43"/>
  <c r="K249" i="43" s="1"/>
  <c r="I253" i="43"/>
  <c r="K253" i="43" s="1"/>
  <c r="H294" i="43"/>
  <c r="G213" i="43"/>
  <c r="H213" i="43"/>
  <c r="I213" i="43"/>
  <c r="F213" i="43"/>
  <c r="H201" i="43"/>
  <c r="I201" i="43"/>
  <c r="K280" i="43"/>
  <c r="K281" i="43"/>
  <c r="K227" i="43"/>
  <c r="K168" i="43"/>
  <c r="K169" i="43"/>
  <c r="K172" i="43"/>
  <c r="K173" i="43"/>
  <c r="K167" i="43"/>
  <c r="K99" i="43"/>
  <c r="K100" i="43"/>
  <c r="K104" i="43"/>
  <c r="K126" i="43"/>
  <c r="K127" i="43"/>
  <c r="K129" i="43"/>
  <c r="K131" i="43"/>
  <c r="K153" i="43"/>
  <c r="K154" i="43"/>
  <c r="K155" i="43"/>
  <c r="K158" i="43"/>
  <c r="K180" i="43"/>
  <c r="K181" i="43"/>
  <c r="K184" i="43"/>
  <c r="K185" i="43"/>
  <c r="K207" i="43"/>
  <c r="K239" i="43"/>
  <c r="K288" i="43"/>
  <c r="K290" i="43"/>
  <c r="K292" i="43"/>
  <c r="K293" i="43"/>
  <c r="K206" i="43"/>
  <c r="K179" i="43"/>
  <c r="K125" i="43"/>
  <c r="K98" i="43"/>
  <c r="K72" i="43"/>
  <c r="K73" i="43"/>
  <c r="K74" i="43"/>
  <c r="K75" i="43"/>
  <c r="K76" i="43"/>
  <c r="K77" i="43"/>
  <c r="K23" i="43"/>
  <c r="K22" i="43"/>
  <c r="K21" i="43"/>
  <c r="K20" i="43"/>
  <c r="K19" i="43"/>
  <c r="K25" i="43"/>
  <c r="G321" i="43"/>
  <c r="H321" i="43"/>
  <c r="I321" i="43"/>
  <c r="J321" i="43"/>
  <c r="F321" i="43"/>
  <c r="C309" i="43"/>
  <c r="D309" i="43"/>
  <c r="E309" i="43"/>
  <c r="F309" i="43"/>
  <c r="J309" i="43"/>
  <c r="I294" i="43"/>
  <c r="J294" i="43"/>
  <c r="G294" i="43"/>
  <c r="D282" i="43"/>
  <c r="E282" i="43"/>
  <c r="F282" i="43"/>
  <c r="G282" i="43"/>
  <c r="H282" i="43"/>
  <c r="I282" i="43"/>
  <c r="J282" i="43"/>
  <c r="G267" i="43"/>
  <c r="H267" i="43"/>
  <c r="I267" i="43"/>
  <c r="J267" i="43"/>
  <c r="F267" i="43"/>
  <c r="C255" i="43"/>
  <c r="D255" i="43"/>
  <c r="E255" i="43"/>
  <c r="F255" i="43"/>
  <c r="H255" i="43"/>
  <c r="I255" i="43"/>
  <c r="J255" i="43"/>
  <c r="G240" i="43"/>
  <c r="H240" i="43"/>
  <c r="I240" i="43"/>
  <c r="J240" i="43"/>
  <c r="F240" i="43"/>
  <c r="C228" i="43"/>
  <c r="D228" i="43"/>
  <c r="E228" i="43"/>
  <c r="F228" i="43"/>
  <c r="G228" i="43"/>
  <c r="H228" i="43"/>
  <c r="I228" i="43"/>
  <c r="J228" i="43"/>
  <c r="J213" i="43"/>
  <c r="C201" i="43"/>
  <c r="D201" i="43"/>
  <c r="E201" i="43"/>
  <c r="F201" i="43"/>
  <c r="G201" i="43"/>
  <c r="J201" i="43"/>
  <c r="G186" i="43"/>
  <c r="H186" i="43"/>
  <c r="I186" i="43"/>
  <c r="J186" i="43"/>
  <c r="F186" i="43"/>
  <c r="C174" i="43"/>
  <c r="D174" i="43"/>
  <c r="E174" i="43"/>
  <c r="F174" i="43"/>
  <c r="G174" i="43"/>
  <c r="H174" i="43"/>
  <c r="I174" i="43"/>
  <c r="J174" i="43"/>
  <c r="G159" i="43"/>
  <c r="H159" i="43"/>
  <c r="I159" i="43"/>
  <c r="J159" i="43"/>
  <c r="F159" i="43"/>
  <c r="C147" i="43"/>
  <c r="D147" i="43"/>
  <c r="E147" i="43"/>
  <c r="G147" i="43"/>
  <c r="H147" i="43"/>
  <c r="J147" i="43"/>
  <c r="G132" i="43"/>
  <c r="H132" i="43"/>
  <c r="I132" i="43"/>
  <c r="J132" i="43"/>
  <c r="F132" i="43"/>
  <c r="C120" i="43"/>
  <c r="D120" i="43"/>
  <c r="E120" i="43"/>
  <c r="F120" i="43"/>
  <c r="G120" i="43"/>
  <c r="H120" i="43"/>
  <c r="J120" i="43"/>
  <c r="G105" i="43"/>
  <c r="H105" i="43"/>
  <c r="I105" i="43"/>
  <c r="J105" i="43"/>
  <c r="F105" i="43"/>
  <c r="C93" i="43"/>
  <c r="D93" i="43"/>
  <c r="E93" i="43"/>
  <c r="F93" i="43"/>
  <c r="G93" i="43"/>
  <c r="H93" i="43"/>
  <c r="I93" i="43"/>
  <c r="J93" i="43"/>
  <c r="G78" i="43"/>
  <c r="H78" i="43"/>
  <c r="I78" i="43"/>
  <c r="F78" i="43"/>
  <c r="H66" i="43"/>
  <c r="I66" i="43"/>
  <c r="J66" i="43"/>
  <c r="E51" i="43"/>
  <c r="F51" i="43"/>
  <c r="G51" i="43"/>
  <c r="H51" i="43"/>
  <c r="I51" i="43"/>
  <c r="J51" i="43"/>
  <c r="C39" i="43"/>
  <c r="D39" i="43"/>
  <c r="E39" i="43"/>
  <c r="F39" i="43"/>
  <c r="G39" i="43"/>
  <c r="H39" i="43"/>
  <c r="I39" i="43"/>
  <c r="J39" i="43"/>
  <c r="G26" i="43"/>
  <c r="H26" i="43"/>
  <c r="I26" i="43"/>
  <c r="J26" i="43"/>
  <c r="F26" i="43"/>
  <c r="D14" i="43"/>
  <c r="E14" i="43"/>
  <c r="F14" i="43"/>
  <c r="G14" i="43"/>
  <c r="H14" i="43"/>
  <c r="I14" i="43"/>
  <c r="J14" i="43"/>
  <c r="C14" i="43"/>
  <c r="G255" i="43" l="1"/>
  <c r="K320" i="43"/>
  <c r="K319" i="43"/>
  <c r="K318" i="43"/>
  <c r="K317" i="43"/>
  <c r="K316" i="43"/>
  <c r="K315" i="43"/>
  <c r="B294" i="43"/>
  <c r="K266" i="43"/>
  <c r="K265" i="43"/>
  <c r="K263" i="43"/>
  <c r="K261" i="43"/>
  <c r="K260" i="43"/>
  <c r="K238" i="43"/>
  <c r="K237" i="43"/>
  <c r="K236" i="43"/>
  <c r="K235" i="43"/>
  <c r="K233" i="43"/>
  <c r="B213" i="43"/>
  <c r="K213" i="43" s="1"/>
  <c r="K182" i="43"/>
  <c r="K157" i="43"/>
  <c r="K156" i="43"/>
  <c r="B130" i="43"/>
  <c r="B128" i="43"/>
  <c r="K128" i="43" s="1"/>
  <c r="K103" i="43"/>
  <c r="K102" i="43"/>
  <c r="B78" i="43"/>
  <c r="K78" i="43" s="1"/>
  <c r="K50" i="43"/>
  <c r="K49" i="43"/>
  <c r="K48" i="43"/>
  <c r="K47" i="43"/>
  <c r="K46" i="43"/>
  <c r="K45" i="43"/>
  <c r="B24" i="43"/>
  <c r="K24" i="43" s="1"/>
  <c r="B51" i="43" l="1"/>
  <c r="K44" i="43"/>
  <c r="B105" i="43"/>
  <c r="K101" i="43"/>
  <c r="B132" i="43"/>
  <c r="K130" i="43"/>
  <c r="B240" i="43"/>
  <c r="K234" i="43"/>
  <c r="B26" i="43"/>
  <c r="K262" i="43"/>
  <c r="B159" i="43"/>
  <c r="K152" i="43"/>
  <c r="B186" i="43"/>
  <c r="K183" i="43"/>
  <c r="B321" i="43"/>
  <c r="K314" i="43"/>
  <c r="B201" i="43" l="1"/>
  <c r="B307" i="43"/>
  <c r="I307" i="43" s="1"/>
  <c r="K307" i="43" s="1"/>
  <c r="B306" i="43"/>
  <c r="I306" i="43" s="1"/>
  <c r="B304" i="43"/>
  <c r="H304" i="43" s="1"/>
  <c r="H309" i="43" s="1"/>
  <c r="B303" i="43"/>
  <c r="G303" i="43" s="1"/>
  <c r="G309" i="43" s="1"/>
  <c r="K221" i="43"/>
  <c r="K226" i="43"/>
  <c r="K225" i="43"/>
  <c r="K224" i="43"/>
  <c r="K223" i="43"/>
  <c r="K222" i="43"/>
  <c r="B171" i="43"/>
  <c r="K171" i="43" s="1"/>
  <c r="B170" i="43"/>
  <c r="K170" i="43" s="1"/>
  <c r="B145" i="43"/>
  <c r="I145" i="43" s="1"/>
  <c r="B140" i="43"/>
  <c r="F140" i="43" s="1"/>
  <c r="B118" i="43"/>
  <c r="I118" i="43" s="1"/>
  <c r="K118" i="43" s="1"/>
  <c r="B116" i="43"/>
  <c r="I116" i="43" s="1"/>
  <c r="K116" i="43" l="1"/>
  <c r="I120" i="43"/>
  <c r="K140" i="43"/>
  <c r="F147" i="43"/>
  <c r="K306" i="43"/>
  <c r="I309" i="43"/>
  <c r="K145" i="43"/>
  <c r="I147" i="43"/>
  <c r="B12" i="43"/>
  <c r="K12" i="43" s="1"/>
  <c r="B309" i="43" l="1"/>
  <c r="B282" i="43"/>
  <c r="B255" i="43"/>
  <c r="B228" i="43"/>
  <c r="B174" i="43"/>
  <c r="K174" i="43" s="1"/>
  <c r="B147" i="43"/>
  <c r="B120" i="43"/>
  <c r="B93" i="43"/>
  <c r="B66" i="43"/>
  <c r="B39" i="43"/>
  <c r="B14" i="43"/>
</calcChain>
</file>

<file path=xl/sharedStrings.xml><?xml version="1.0" encoding="utf-8"?>
<sst xmlns="http://schemas.openxmlformats.org/spreadsheetml/2006/main" count="372" uniqueCount="30">
  <si>
    <t>รวม</t>
  </si>
  <si>
    <t>จำนวนรับเข้า</t>
  </si>
  <si>
    <t>คณะวิทยาการจัดการ</t>
  </si>
  <si>
    <t xml:space="preserve">หลักสูตรศิลปศาสตรบัณฑิต      สาขาวิชาการจัดการท่องเที่ยว </t>
  </si>
  <si>
    <t xml:space="preserve">หลักสูตรบริหารธุรกิจบัณฑิต    สาขาวิชาการจัดการทั่วไป </t>
  </si>
  <si>
    <t xml:space="preserve">หลักสูตรบริหารธุรกิจบัณฑิต    สาขาวิชาการจัดการธุรกิจค้าปลีก </t>
  </si>
  <si>
    <t>หลักสูตรบริหารธุรกิจบัณฑิต    สาขาวิชาการจัดการโลจิสติกส์และซัพพลายเชน</t>
  </si>
  <si>
    <t>หลักสูตรบริหารธุรกิจบัณฑิต    สาขาวิชาการบริหารธุรกิจ แขนงวิชาการบริหารทรัพยากรมนุษย์</t>
  </si>
  <si>
    <t>หลักสูตรบริหารธุรกิจบัณฑิต    สาขาวิชาการบริหารธุรกิจ แขนงวิชาการตลาด</t>
  </si>
  <si>
    <t>หลักสูตรบริหารธุรกิจบัณฑิต    สาขาวิชาการบริหารธุรกิจ แขนงวิชาการเงินการธนาคาร</t>
  </si>
  <si>
    <t>หลักสูตรบริหารธุรกิจบัณฑิต    สาขาวิชาคอมพิวเตอร์ธุรกิจ</t>
  </si>
  <si>
    <t xml:space="preserve">หลักสูตรบัญชีบัณฑิต    สาขาวิชาการบัญชี </t>
  </si>
  <si>
    <t xml:space="preserve">หลักสูตรเศรษฐศาสตรบัณฑิต    สาขาวิชาเศรษฐศาสตร์ </t>
  </si>
  <si>
    <t>หลักสูตรนิเทศศาสตรบัณฑิต    สาขาวิชานิเทศศาสตร์</t>
  </si>
  <si>
    <t>หลักสูตรบริหารธุรกิจบัณฑิต    สาขาวิชาการบริหารธุรกิจ แขนงวิชาการบริหารงานอุตสาหกรรม</t>
  </si>
  <si>
    <t>ปีการศึกษาที่รับเข้า</t>
  </si>
  <si>
    <t>จำนวนนักศึกษาที่ลาออกและคัดชื่อออกสะสมจนถึงสิ้นปีการศึกษา 2559</t>
  </si>
  <si>
    <t>จำนวนนักศึกษาคงอยู่ในแต่ละชั้นปี</t>
  </si>
  <si>
    <t>จำนวนนักศึกษาคงอยู่</t>
  </si>
  <si>
    <t>จำนวนผู้สำเร็จการศึกษา</t>
  </si>
  <si>
    <t>จำนวนนักศึกษาที่สำเร็จการศึกษา</t>
  </si>
  <si>
    <t>จำนวนผู้สำเร็จการศึกษาตามแผนการศึกษา</t>
  </si>
  <si>
    <t>สํานักส่งเสริมวิชาการและงานทะเบียน ข้อมูล ณ วันที่ 16 มิถุนายน 2560</t>
  </si>
  <si>
    <t>อัตราการสำเร็จการศึกษาตามแผน</t>
  </si>
  <si>
    <t>รายงานจำนวนนักศึกษา อัตราการคงอยู่ของนักศึกษา และอัตราการสำเร็จการศึกษาย้อนหลัง 5 ปีระดับปริญญาตรี</t>
  </si>
  <si>
    <t>อัตราการคงอยู่ของนักศึกษาจนถึงสิ้นปีการศึกษา 2559</t>
  </si>
  <si>
    <t>หมายเหตุ*นักศึกษาที่จบก่อนตามแผนคือนักศึกษาที่เทียบโอน</t>
  </si>
  <si>
    <t>สํานักส่งเสริมวิชาการและงานทะเบียน ข้อมูล ณ วันที่ 22 มกราคม 2561</t>
  </si>
  <si>
    <t>จำนวนนักศึกษาที่ลาออกและคัดชื่อออกสะสมจนถึงสิ้นปีการศึกษา 2560</t>
  </si>
  <si>
    <t>อัตราการคงอยู่ของนักศึกษาจนถึงสิ้นปีการศึกษา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</si>
</sst>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_ ;\-#,##0\ "/>
  </numFmts>
  <fonts count="12" x14ac:knownFonts="1">
    <font>
      <sz val="11"/>
      <color theme="1"/>
      <name val="Tahoma"/>
      <family val="2"/>
      <charset val="222"/>
      <scheme val="minor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7"/>
      <color indexed="8"/>
      <name val="TH SarabunPSK"/>
      <family val="2"/>
    </font>
    <font>
      <b/>
      <sz val="17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8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7030A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87" fontId="3" fillId="3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87" fontId="3" fillId="2" borderId="1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1" fontId="5" fillId="3" borderId="7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87" fontId="3" fillId="0" borderId="0" xfId="1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322"/>
  <sheetViews>
    <sheetView view="pageBreakPreview" topLeftCell="A8" zoomScaleNormal="100" zoomScaleSheetLayoutView="100" workbookViewId="0">
      <selection activeCell="A33" sqref="A33"/>
    </sheetView>
  </sheetViews>
  <sheetFormatPr defaultRowHeight="21" x14ac:dyDescent="0.35"/>
  <cols>
    <col min="1" max="2" width="13.875" style="1" customWidth="1"/>
    <col min="3" max="8" width="9.625" style="1" customWidth="1"/>
    <col min="9" max="9" width="9.625" style="2" customWidth="1"/>
    <col min="10" max="10" width="22.625" style="2" customWidth="1"/>
    <col min="11" max="11" width="21.125" style="2" customWidth="1"/>
    <col min="12" max="16384" width="9" style="1"/>
  </cols>
  <sheetData>
    <row r="1" spans="1:11" s="26" customFormat="1" ht="27.75" customHeight="1" x14ac:dyDescent="0.2">
      <c r="A1" s="27" t="s">
        <v>24</v>
      </c>
      <c r="I1" s="2"/>
      <c r="J1" s="2"/>
      <c r="K1" s="2"/>
    </row>
    <row r="2" spans="1:11" s="4" customFormat="1" ht="25.5" customHeight="1" x14ac:dyDescent="0.4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4" customFormat="1" ht="22.5" customHeight="1" x14ac:dyDescent="0.4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4" customFormat="1" ht="23.25" customHeight="1" x14ac:dyDescent="0.4">
      <c r="A4" s="8" t="s">
        <v>18</v>
      </c>
      <c r="B4" s="3"/>
      <c r="C4" s="3"/>
      <c r="D4" s="3"/>
      <c r="E4" s="3"/>
      <c r="F4" s="3"/>
      <c r="G4" s="3"/>
      <c r="H4" s="3"/>
      <c r="I4" s="10"/>
      <c r="J4" s="10"/>
      <c r="K4" s="10"/>
    </row>
    <row r="5" spans="1:11" ht="24" customHeight="1" x14ac:dyDescent="0.35">
      <c r="A5" s="45" t="s">
        <v>15</v>
      </c>
      <c r="B5" s="45" t="s">
        <v>1</v>
      </c>
      <c r="C5" s="49" t="s">
        <v>17</v>
      </c>
      <c r="D5" s="50"/>
      <c r="E5" s="50"/>
      <c r="F5" s="50"/>
      <c r="G5" s="50"/>
      <c r="H5" s="50"/>
      <c r="I5" s="51"/>
      <c r="J5" s="52" t="s">
        <v>16</v>
      </c>
      <c r="K5" s="54" t="s">
        <v>25</v>
      </c>
    </row>
    <row r="6" spans="1:11" ht="41.1" customHeight="1" x14ac:dyDescent="0.35">
      <c r="A6" s="46"/>
      <c r="B6" s="45"/>
      <c r="C6" s="15">
        <v>2553</v>
      </c>
      <c r="D6" s="15">
        <v>2554</v>
      </c>
      <c r="E6" s="13">
        <v>2555</v>
      </c>
      <c r="F6" s="13">
        <v>2556</v>
      </c>
      <c r="G6" s="13">
        <v>2557</v>
      </c>
      <c r="H6" s="13">
        <v>2558</v>
      </c>
      <c r="I6" s="13">
        <v>2559</v>
      </c>
      <c r="J6" s="53"/>
      <c r="K6" s="55"/>
    </row>
    <row r="7" spans="1:11" ht="19.5" customHeight="1" x14ac:dyDescent="0.35">
      <c r="A7" s="5">
        <v>2553</v>
      </c>
      <c r="B7" s="5">
        <v>20</v>
      </c>
      <c r="C7" s="6">
        <v>14</v>
      </c>
      <c r="D7" s="6">
        <v>9</v>
      </c>
      <c r="E7" s="6">
        <v>13</v>
      </c>
      <c r="F7" s="28">
        <f>B7-J7</f>
        <v>10</v>
      </c>
      <c r="G7" s="6">
        <v>2</v>
      </c>
      <c r="H7" s="6">
        <v>0</v>
      </c>
      <c r="I7" s="9">
        <v>0</v>
      </c>
      <c r="J7" s="9">
        <v>10</v>
      </c>
      <c r="K7" s="21">
        <f>F7/B7*100</f>
        <v>50</v>
      </c>
    </row>
    <row r="8" spans="1:11" ht="19.5" customHeight="1" x14ac:dyDescent="0.35">
      <c r="A8" s="5">
        <v>2554</v>
      </c>
      <c r="B8" s="5">
        <v>22</v>
      </c>
      <c r="C8" s="6"/>
      <c r="D8" s="6">
        <v>15</v>
      </c>
      <c r="E8" s="6">
        <v>15</v>
      </c>
      <c r="F8" s="6">
        <v>14</v>
      </c>
      <c r="G8" s="28">
        <f>B8-J8</f>
        <v>12</v>
      </c>
      <c r="H8" s="6">
        <v>4</v>
      </c>
      <c r="I8" s="9">
        <v>0</v>
      </c>
      <c r="J8" s="9">
        <v>10</v>
      </c>
      <c r="K8" s="21">
        <f>G8/B8*100</f>
        <v>54.54545454545454</v>
      </c>
    </row>
    <row r="9" spans="1:11" ht="19.5" customHeight="1" x14ac:dyDescent="0.35">
      <c r="A9" s="5">
        <v>2555</v>
      </c>
      <c r="B9" s="5">
        <v>27</v>
      </c>
      <c r="C9" s="6"/>
      <c r="D9" s="6"/>
      <c r="E9" s="6">
        <v>20</v>
      </c>
      <c r="F9" s="6">
        <v>18</v>
      </c>
      <c r="G9" s="6">
        <v>17</v>
      </c>
      <c r="H9" s="28">
        <f>B9-J9</f>
        <v>15</v>
      </c>
      <c r="I9" s="9">
        <v>3</v>
      </c>
      <c r="J9" s="9">
        <v>12</v>
      </c>
      <c r="K9" s="21">
        <f>H9/B9*100</f>
        <v>55.555555555555557</v>
      </c>
    </row>
    <row r="10" spans="1:11" ht="19.5" customHeight="1" x14ac:dyDescent="0.35">
      <c r="A10" s="5">
        <v>2556</v>
      </c>
      <c r="B10" s="5">
        <v>26</v>
      </c>
      <c r="C10" s="6"/>
      <c r="D10" s="6"/>
      <c r="E10" s="6"/>
      <c r="F10" s="6">
        <v>20</v>
      </c>
      <c r="G10" s="6">
        <v>16</v>
      </c>
      <c r="H10" s="6">
        <v>15</v>
      </c>
      <c r="I10" s="29">
        <f>B10-J10</f>
        <v>13</v>
      </c>
      <c r="J10" s="9">
        <v>13</v>
      </c>
      <c r="K10" s="21">
        <f>I10/B10*100</f>
        <v>50</v>
      </c>
    </row>
    <row r="11" spans="1:11" ht="19.5" customHeight="1" x14ac:dyDescent="0.35">
      <c r="A11" s="5">
        <v>2557</v>
      </c>
      <c r="B11" s="5">
        <v>44</v>
      </c>
      <c r="C11" s="6"/>
      <c r="D11" s="6"/>
      <c r="E11" s="6"/>
      <c r="F11" s="6"/>
      <c r="G11" s="6">
        <v>35</v>
      </c>
      <c r="H11" s="6">
        <v>32</v>
      </c>
      <c r="I11" s="9">
        <f>B11-J11</f>
        <v>31</v>
      </c>
      <c r="J11" s="9">
        <v>13</v>
      </c>
      <c r="K11" s="21">
        <f>I11/B11*100</f>
        <v>70.454545454545453</v>
      </c>
    </row>
    <row r="12" spans="1:11" ht="19.5" customHeight="1" x14ac:dyDescent="0.35">
      <c r="A12" s="5">
        <v>2558</v>
      </c>
      <c r="B12" s="5">
        <f>30+24</f>
        <v>54</v>
      </c>
      <c r="C12" s="6"/>
      <c r="D12" s="6"/>
      <c r="E12" s="6"/>
      <c r="F12" s="6"/>
      <c r="G12" s="6"/>
      <c r="H12" s="6">
        <v>37</v>
      </c>
      <c r="I12" s="9">
        <v>28</v>
      </c>
      <c r="J12" s="9">
        <v>26</v>
      </c>
      <c r="K12" s="21">
        <f t="shared" ref="K12:K13" si="0">I12/B12*100</f>
        <v>51.851851851851848</v>
      </c>
    </row>
    <row r="13" spans="1:11" ht="19.5" customHeight="1" x14ac:dyDescent="0.35">
      <c r="A13" s="5">
        <v>2559</v>
      </c>
      <c r="B13" s="5">
        <v>24</v>
      </c>
      <c r="C13" s="6"/>
      <c r="D13" s="6"/>
      <c r="E13" s="6"/>
      <c r="F13" s="6"/>
      <c r="G13" s="6"/>
      <c r="H13" s="6"/>
      <c r="I13" s="9">
        <v>18</v>
      </c>
      <c r="J13" s="9">
        <v>4</v>
      </c>
      <c r="K13" s="21">
        <f t="shared" si="0"/>
        <v>75</v>
      </c>
    </row>
    <row r="14" spans="1:11" ht="19.5" customHeight="1" x14ac:dyDescent="0.35">
      <c r="A14" s="7" t="s">
        <v>0</v>
      </c>
      <c r="B14" s="7">
        <f>SUM(B7:B13)</f>
        <v>217</v>
      </c>
      <c r="C14" s="7">
        <f>SUM(C7:C13)</f>
        <v>14</v>
      </c>
      <c r="D14" s="7">
        <f t="shared" ref="D14:J14" si="1">SUM(D7:D13)</f>
        <v>24</v>
      </c>
      <c r="E14" s="7">
        <f t="shared" si="1"/>
        <v>48</v>
      </c>
      <c r="F14" s="7">
        <f t="shared" si="1"/>
        <v>62</v>
      </c>
      <c r="G14" s="7">
        <f t="shared" si="1"/>
        <v>82</v>
      </c>
      <c r="H14" s="7">
        <f t="shared" si="1"/>
        <v>103</v>
      </c>
      <c r="I14" s="7">
        <f t="shared" si="1"/>
        <v>93</v>
      </c>
      <c r="J14" s="7">
        <f t="shared" si="1"/>
        <v>88</v>
      </c>
      <c r="K14" s="31"/>
    </row>
    <row r="15" spans="1:11" ht="9" customHeight="1" x14ac:dyDescent="0.35"/>
    <row r="16" spans="1:11" s="4" customFormat="1" ht="23.25" customHeight="1" x14ac:dyDescent="0.4">
      <c r="A16" s="8" t="s">
        <v>19</v>
      </c>
      <c r="B16" s="3"/>
      <c r="C16" s="3"/>
      <c r="D16" s="3"/>
      <c r="E16" s="3"/>
      <c r="F16" s="3"/>
      <c r="G16" s="3"/>
      <c r="H16" s="3"/>
      <c r="I16" s="14"/>
      <c r="J16" s="14"/>
      <c r="K16" s="14"/>
    </row>
    <row r="17" spans="1:11" ht="24" customHeight="1" x14ac:dyDescent="0.35">
      <c r="A17" s="60" t="s">
        <v>15</v>
      </c>
      <c r="B17" s="60" t="s">
        <v>1</v>
      </c>
      <c r="C17" s="62" t="s">
        <v>20</v>
      </c>
      <c r="D17" s="63"/>
      <c r="E17" s="63"/>
      <c r="F17" s="63"/>
      <c r="G17" s="63"/>
      <c r="H17" s="63"/>
      <c r="I17" s="64"/>
      <c r="J17" s="56" t="s">
        <v>21</v>
      </c>
      <c r="K17" s="58" t="s">
        <v>23</v>
      </c>
    </row>
    <row r="18" spans="1:11" ht="41.1" customHeight="1" x14ac:dyDescent="0.35">
      <c r="A18" s="61"/>
      <c r="B18" s="60"/>
      <c r="C18" s="17">
        <v>2553</v>
      </c>
      <c r="D18" s="17">
        <v>2554</v>
      </c>
      <c r="E18" s="18">
        <v>2555</v>
      </c>
      <c r="F18" s="18">
        <v>2556</v>
      </c>
      <c r="G18" s="18">
        <v>2557</v>
      </c>
      <c r="H18" s="18">
        <v>2558</v>
      </c>
      <c r="I18" s="18">
        <v>2559</v>
      </c>
      <c r="J18" s="57"/>
      <c r="K18" s="59"/>
    </row>
    <row r="19" spans="1:11" ht="19.5" customHeight="1" x14ac:dyDescent="0.35">
      <c r="A19" s="5">
        <v>2553</v>
      </c>
      <c r="B19" s="5">
        <v>20</v>
      </c>
      <c r="C19" s="6"/>
      <c r="D19" s="6"/>
      <c r="E19" s="6"/>
      <c r="F19" s="28">
        <v>9</v>
      </c>
      <c r="G19" s="6">
        <v>1</v>
      </c>
      <c r="H19" s="6">
        <v>0</v>
      </c>
      <c r="I19" s="9">
        <v>0</v>
      </c>
      <c r="J19" s="9">
        <v>9</v>
      </c>
      <c r="K19" s="21">
        <f>J19*100/B19</f>
        <v>45</v>
      </c>
    </row>
    <row r="20" spans="1:11" ht="19.5" customHeight="1" x14ac:dyDescent="0.35">
      <c r="A20" s="5">
        <v>2554</v>
      </c>
      <c r="B20" s="5">
        <v>22</v>
      </c>
      <c r="C20" s="6"/>
      <c r="D20" s="6"/>
      <c r="E20" s="6"/>
      <c r="F20" s="6"/>
      <c r="G20" s="28">
        <v>3</v>
      </c>
      <c r="H20" s="6">
        <v>8</v>
      </c>
      <c r="I20" s="9">
        <v>1</v>
      </c>
      <c r="J20" s="9">
        <v>3</v>
      </c>
      <c r="K20" s="21">
        <f>J20*100/B20</f>
        <v>13.636363636363637</v>
      </c>
    </row>
    <row r="21" spans="1:11" ht="19.5" customHeight="1" x14ac:dyDescent="0.35">
      <c r="A21" s="5">
        <v>2555</v>
      </c>
      <c r="B21" s="5">
        <v>27</v>
      </c>
      <c r="C21" s="6"/>
      <c r="D21" s="6"/>
      <c r="E21" s="6"/>
      <c r="F21" s="6"/>
      <c r="G21" s="6"/>
      <c r="H21" s="28">
        <v>5</v>
      </c>
      <c r="I21" s="9">
        <v>7</v>
      </c>
      <c r="J21" s="9">
        <v>5</v>
      </c>
      <c r="K21" s="21">
        <f>J21*100/B21</f>
        <v>18.518518518518519</v>
      </c>
    </row>
    <row r="22" spans="1:11" ht="19.5" customHeight="1" x14ac:dyDescent="0.35">
      <c r="A22" s="5">
        <v>2556</v>
      </c>
      <c r="B22" s="5">
        <v>26</v>
      </c>
      <c r="C22" s="6"/>
      <c r="D22" s="6"/>
      <c r="E22" s="6"/>
      <c r="F22" s="6"/>
      <c r="G22" s="6"/>
      <c r="H22" s="6"/>
      <c r="I22" s="29">
        <v>5</v>
      </c>
      <c r="J22" s="9">
        <v>5</v>
      </c>
      <c r="K22" s="21">
        <f>J22*100/B22</f>
        <v>19.23076923076923</v>
      </c>
    </row>
    <row r="23" spans="1:11" ht="19.5" customHeight="1" x14ac:dyDescent="0.35">
      <c r="A23" s="5">
        <v>2557</v>
      </c>
      <c r="B23" s="5">
        <v>44</v>
      </c>
      <c r="C23" s="6"/>
      <c r="D23" s="6"/>
      <c r="E23" s="6"/>
      <c r="F23" s="6"/>
      <c r="G23" s="6"/>
      <c r="H23" s="6"/>
      <c r="I23" s="9"/>
      <c r="J23" s="9"/>
      <c r="K23" s="21">
        <f>J23*100/B23</f>
        <v>0</v>
      </c>
    </row>
    <row r="24" spans="1:11" ht="19.5" customHeight="1" x14ac:dyDescent="0.35">
      <c r="A24" s="5">
        <v>2558</v>
      </c>
      <c r="B24" s="5">
        <f>30+24</f>
        <v>54</v>
      </c>
      <c r="C24" s="6"/>
      <c r="D24" s="6"/>
      <c r="E24" s="6"/>
      <c r="F24" s="6"/>
      <c r="G24" s="6"/>
      <c r="H24" s="6"/>
      <c r="I24" s="9"/>
      <c r="J24" s="9"/>
      <c r="K24" s="21">
        <f t="shared" ref="K24:K25" si="2">J24*100/B24</f>
        <v>0</v>
      </c>
    </row>
    <row r="25" spans="1:11" ht="19.5" customHeight="1" x14ac:dyDescent="0.35">
      <c r="A25" s="5">
        <v>2559</v>
      </c>
      <c r="B25" s="5">
        <v>24</v>
      </c>
      <c r="C25" s="6"/>
      <c r="D25" s="6"/>
      <c r="E25" s="6"/>
      <c r="F25" s="6"/>
      <c r="G25" s="6"/>
      <c r="H25" s="6"/>
      <c r="I25" s="9"/>
      <c r="J25" s="9"/>
      <c r="K25" s="21">
        <f t="shared" si="2"/>
        <v>0</v>
      </c>
    </row>
    <row r="26" spans="1:11" ht="19.5" customHeight="1" x14ac:dyDescent="0.35">
      <c r="A26" s="19" t="s">
        <v>0</v>
      </c>
      <c r="B26" s="19">
        <f>SUM(B19:B25)</f>
        <v>217</v>
      </c>
      <c r="C26" s="19"/>
      <c r="D26" s="19"/>
      <c r="E26" s="19"/>
      <c r="F26" s="19">
        <f>SUM(F19:F25)</f>
        <v>9</v>
      </c>
      <c r="G26" s="19">
        <f t="shared" ref="G26:J26" si="3">SUM(G19:G25)</f>
        <v>4</v>
      </c>
      <c r="H26" s="19">
        <f t="shared" si="3"/>
        <v>13</v>
      </c>
      <c r="I26" s="19">
        <f t="shared" si="3"/>
        <v>13</v>
      </c>
      <c r="J26" s="19">
        <f t="shared" si="3"/>
        <v>22</v>
      </c>
      <c r="K26" s="30"/>
    </row>
    <row r="27" spans="1:11" ht="12.75" customHeight="1" x14ac:dyDescent="0.35"/>
    <row r="28" spans="1:11" s="4" customFormat="1" ht="22.5" customHeight="1" x14ac:dyDescent="0.4">
      <c r="A28" s="47" t="s">
        <v>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23.25" customHeight="1" x14ac:dyDescent="0.35">
      <c r="A29" s="8" t="s">
        <v>18</v>
      </c>
      <c r="B29" s="3"/>
      <c r="C29" s="3"/>
      <c r="D29" s="3"/>
      <c r="E29" s="3"/>
      <c r="F29" s="3"/>
      <c r="G29" s="3"/>
      <c r="H29" s="3"/>
      <c r="I29" s="3"/>
      <c r="J29" s="10"/>
      <c r="K29" s="10"/>
    </row>
    <row r="30" spans="1:11" ht="24" customHeight="1" x14ac:dyDescent="0.35">
      <c r="A30" s="45" t="s">
        <v>15</v>
      </c>
      <c r="B30" s="45" t="s">
        <v>1</v>
      </c>
      <c r="C30" s="49" t="s">
        <v>17</v>
      </c>
      <c r="D30" s="50"/>
      <c r="E30" s="50"/>
      <c r="F30" s="50"/>
      <c r="G30" s="50"/>
      <c r="H30" s="50"/>
      <c r="I30" s="51"/>
      <c r="J30" s="52" t="s">
        <v>16</v>
      </c>
      <c r="K30" s="54" t="s">
        <v>25</v>
      </c>
    </row>
    <row r="31" spans="1:11" ht="41.1" customHeight="1" x14ac:dyDescent="0.35">
      <c r="A31" s="46"/>
      <c r="B31" s="45"/>
      <c r="C31" s="15">
        <v>2553</v>
      </c>
      <c r="D31" s="15">
        <v>2554</v>
      </c>
      <c r="E31" s="13">
        <v>2555</v>
      </c>
      <c r="F31" s="13">
        <v>2556</v>
      </c>
      <c r="G31" s="13">
        <v>2557</v>
      </c>
      <c r="H31" s="13">
        <v>2558</v>
      </c>
      <c r="I31" s="13">
        <v>2559</v>
      </c>
      <c r="J31" s="53"/>
      <c r="K31" s="55"/>
    </row>
    <row r="32" spans="1:11" ht="19.5" customHeight="1" x14ac:dyDescent="0.35">
      <c r="A32" s="5">
        <v>2553</v>
      </c>
      <c r="B32" s="5">
        <f>32+29+32+21+467</f>
        <v>581</v>
      </c>
      <c r="C32" s="6">
        <f>91+391</f>
        <v>482</v>
      </c>
      <c r="D32" s="6">
        <f>61+302</f>
        <v>363</v>
      </c>
      <c r="E32" s="6">
        <f>61+329</f>
        <v>390</v>
      </c>
      <c r="F32" s="28">
        <f>B32-J32</f>
        <v>351</v>
      </c>
      <c r="G32" s="6">
        <f>1+25</f>
        <v>26</v>
      </c>
      <c r="H32" s="6">
        <f>0+7</f>
        <v>7</v>
      </c>
      <c r="I32" s="9">
        <f>0+2</f>
        <v>2</v>
      </c>
      <c r="J32" s="9">
        <f>53+177</f>
        <v>230</v>
      </c>
      <c r="K32" s="21">
        <f>F32/B32*100</f>
        <v>60.413080895008605</v>
      </c>
    </row>
    <row r="33" spans="1:11" ht="19.5" customHeight="1" x14ac:dyDescent="0.35">
      <c r="A33" s="5">
        <v>2554</v>
      </c>
      <c r="B33" s="5">
        <f>27+42+47+493</f>
        <v>609</v>
      </c>
      <c r="C33" s="6"/>
      <c r="D33" s="6">
        <f>97+385</f>
        <v>482</v>
      </c>
      <c r="E33" s="6">
        <f>86+324</f>
        <v>410</v>
      </c>
      <c r="F33" s="6">
        <v>383</v>
      </c>
      <c r="G33" s="28">
        <f>B33-J33</f>
        <v>383</v>
      </c>
      <c r="H33" s="6">
        <f>4+6</f>
        <v>10</v>
      </c>
      <c r="I33" s="9">
        <v>0</v>
      </c>
      <c r="J33" s="9">
        <f>38+188</f>
        <v>226</v>
      </c>
      <c r="K33" s="21">
        <f>G33/B33*100</f>
        <v>62.889983579638752</v>
      </c>
    </row>
    <row r="34" spans="1:11" ht="19.5" customHeight="1" x14ac:dyDescent="0.35">
      <c r="A34" s="5">
        <v>2555</v>
      </c>
      <c r="B34" s="6">
        <f>39+42+41+177</f>
        <v>299</v>
      </c>
      <c r="C34" s="6"/>
      <c r="D34" s="6"/>
      <c r="E34" s="6">
        <f>102+148</f>
        <v>250</v>
      </c>
      <c r="F34" s="6">
        <f>86+91</f>
        <v>177</v>
      </c>
      <c r="G34" s="6">
        <v>157</v>
      </c>
      <c r="H34" s="28">
        <f>B34-J34</f>
        <v>157</v>
      </c>
      <c r="I34" s="12">
        <f>6+8</f>
        <v>14</v>
      </c>
      <c r="J34" s="12">
        <f>47+95</f>
        <v>142</v>
      </c>
      <c r="K34" s="21">
        <f>H34/B34*100</f>
        <v>52.508361204013376</v>
      </c>
    </row>
    <row r="35" spans="1:11" ht="19.5" customHeight="1" x14ac:dyDescent="0.35">
      <c r="A35" s="5">
        <v>2556</v>
      </c>
      <c r="B35" s="6">
        <f>41+39+38+183</f>
        <v>301</v>
      </c>
      <c r="C35" s="6"/>
      <c r="D35" s="6"/>
      <c r="E35" s="6"/>
      <c r="F35" s="6">
        <f>98+154</f>
        <v>252</v>
      </c>
      <c r="G35" s="6">
        <f>89+120</f>
        <v>209</v>
      </c>
      <c r="H35" s="6">
        <v>191</v>
      </c>
      <c r="I35" s="29">
        <f>B35-J35</f>
        <v>191</v>
      </c>
      <c r="J35" s="12">
        <f>41+69</f>
        <v>110</v>
      </c>
      <c r="K35" s="21">
        <f>I35/B35*100</f>
        <v>63.455149501661133</v>
      </c>
    </row>
    <row r="36" spans="1:11" ht="19.5" customHeight="1" x14ac:dyDescent="0.35">
      <c r="A36" s="5">
        <v>2557</v>
      </c>
      <c r="B36" s="6">
        <f>49+45+39+192</f>
        <v>325</v>
      </c>
      <c r="C36" s="6"/>
      <c r="D36" s="6"/>
      <c r="E36" s="6"/>
      <c r="F36" s="6"/>
      <c r="G36" s="6">
        <f>105+174</f>
        <v>279</v>
      </c>
      <c r="H36" s="6">
        <f>98+111</f>
        <v>209</v>
      </c>
      <c r="I36" s="29">
        <f t="shared" ref="I36:I38" si="4">B36-J36</f>
        <v>204</v>
      </c>
      <c r="J36" s="12">
        <f>42+79</f>
        <v>121</v>
      </c>
      <c r="K36" s="21">
        <f>I36/B36*100</f>
        <v>62.769230769230766</v>
      </c>
    </row>
    <row r="37" spans="1:11" ht="19.5" customHeight="1" x14ac:dyDescent="0.35">
      <c r="A37" s="5">
        <v>2558</v>
      </c>
      <c r="B37" s="6">
        <f>46+45+48+79</f>
        <v>218</v>
      </c>
      <c r="C37" s="6"/>
      <c r="D37" s="6"/>
      <c r="E37" s="6"/>
      <c r="F37" s="6"/>
      <c r="G37" s="6"/>
      <c r="H37" s="6">
        <f>119+58</f>
        <v>177</v>
      </c>
      <c r="I37" s="29">
        <f t="shared" si="4"/>
        <v>164</v>
      </c>
      <c r="J37" s="12">
        <f>30+24</f>
        <v>54</v>
      </c>
      <c r="K37" s="21">
        <f>I37/B37*100</f>
        <v>75.22935779816514</v>
      </c>
    </row>
    <row r="38" spans="1:11" ht="19.5" customHeight="1" x14ac:dyDescent="0.35">
      <c r="A38" s="5">
        <v>2559</v>
      </c>
      <c r="B38" s="6">
        <f>40+35+110</f>
        <v>185</v>
      </c>
      <c r="C38" s="6"/>
      <c r="D38" s="6"/>
      <c r="E38" s="6"/>
      <c r="F38" s="6"/>
      <c r="G38" s="6"/>
      <c r="H38" s="6"/>
      <c r="I38" s="29">
        <f t="shared" si="4"/>
        <v>180</v>
      </c>
      <c r="J38" s="12">
        <f>4+1</f>
        <v>5</v>
      </c>
      <c r="K38" s="21">
        <f>I38/B38*100</f>
        <v>97.297297297297305</v>
      </c>
    </row>
    <row r="39" spans="1:11" ht="19.5" customHeight="1" x14ac:dyDescent="0.35">
      <c r="A39" s="7" t="s">
        <v>0</v>
      </c>
      <c r="B39" s="16">
        <f>SUM(B32:B38)</f>
        <v>2518</v>
      </c>
      <c r="C39" s="7">
        <f t="shared" ref="C39:J39" si="5">SUM(C32:C38)</f>
        <v>482</v>
      </c>
      <c r="D39" s="7">
        <f t="shared" si="5"/>
        <v>845</v>
      </c>
      <c r="E39" s="7">
        <f t="shared" si="5"/>
        <v>1050</v>
      </c>
      <c r="F39" s="7">
        <f t="shared" si="5"/>
        <v>1163</v>
      </c>
      <c r="G39" s="7">
        <f t="shared" si="5"/>
        <v>1054</v>
      </c>
      <c r="H39" s="7">
        <f t="shared" si="5"/>
        <v>751</v>
      </c>
      <c r="I39" s="7">
        <f t="shared" si="5"/>
        <v>755</v>
      </c>
      <c r="J39" s="7">
        <f t="shared" si="5"/>
        <v>888</v>
      </c>
      <c r="K39" s="31"/>
    </row>
    <row r="40" spans="1:11" s="4" customFormat="1" ht="12.75" customHeight="1" x14ac:dyDescent="0.4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</row>
    <row r="41" spans="1:11" ht="23.25" customHeight="1" x14ac:dyDescent="0.35">
      <c r="A41" s="8" t="s">
        <v>19</v>
      </c>
      <c r="B41" s="3"/>
      <c r="C41" s="3"/>
      <c r="D41" s="3"/>
      <c r="E41" s="3"/>
      <c r="F41" s="3"/>
      <c r="G41" s="3"/>
      <c r="H41" s="3"/>
      <c r="I41" s="3"/>
      <c r="J41" s="14"/>
      <c r="K41" s="14"/>
    </row>
    <row r="42" spans="1:11" ht="24" customHeight="1" x14ac:dyDescent="0.35">
      <c r="A42" s="60" t="s">
        <v>15</v>
      </c>
      <c r="B42" s="60" t="s">
        <v>1</v>
      </c>
      <c r="C42" s="62" t="s">
        <v>20</v>
      </c>
      <c r="D42" s="63"/>
      <c r="E42" s="63"/>
      <c r="F42" s="63"/>
      <c r="G42" s="63"/>
      <c r="H42" s="63"/>
      <c r="I42" s="64"/>
      <c r="J42" s="56" t="s">
        <v>21</v>
      </c>
      <c r="K42" s="58" t="s">
        <v>23</v>
      </c>
    </row>
    <row r="43" spans="1:11" ht="41.1" customHeight="1" x14ac:dyDescent="0.35">
      <c r="A43" s="61"/>
      <c r="B43" s="60"/>
      <c r="C43" s="17">
        <v>2553</v>
      </c>
      <c r="D43" s="17">
        <v>2554</v>
      </c>
      <c r="E43" s="18">
        <v>2555</v>
      </c>
      <c r="F43" s="18">
        <v>2556</v>
      </c>
      <c r="G43" s="18">
        <v>2557</v>
      </c>
      <c r="H43" s="18">
        <v>2558</v>
      </c>
      <c r="I43" s="18">
        <v>2559</v>
      </c>
      <c r="J43" s="57"/>
      <c r="K43" s="59"/>
    </row>
    <row r="44" spans="1:11" ht="19.5" customHeight="1" x14ac:dyDescent="0.35">
      <c r="A44" s="5">
        <v>2553</v>
      </c>
      <c r="B44" s="5">
        <f>32+29+32+21+467</f>
        <v>581</v>
      </c>
      <c r="C44" s="6"/>
      <c r="D44" s="6"/>
      <c r="E44" s="6">
        <f>1+29</f>
        <v>30</v>
      </c>
      <c r="F44" s="28">
        <f>41+59</f>
        <v>100</v>
      </c>
      <c r="G44" s="6">
        <f>18+168</f>
        <v>186</v>
      </c>
      <c r="H44" s="6">
        <f>1+17</f>
        <v>18</v>
      </c>
      <c r="I44" s="9">
        <f>0+5</f>
        <v>5</v>
      </c>
      <c r="J44" s="9">
        <f>42+88</f>
        <v>130</v>
      </c>
      <c r="K44" s="21">
        <f>J44*100/B44</f>
        <v>22.375215146299485</v>
      </c>
    </row>
    <row r="45" spans="1:11" ht="19.5" customHeight="1" x14ac:dyDescent="0.35">
      <c r="A45" s="5">
        <v>2554</v>
      </c>
      <c r="B45" s="5">
        <f>27+42+47+493</f>
        <v>609</v>
      </c>
      <c r="C45" s="6"/>
      <c r="D45" s="6"/>
      <c r="E45" s="6"/>
      <c r="F45" s="6">
        <v>12</v>
      </c>
      <c r="G45" s="28">
        <f>62+113</f>
        <v>175</v>
      </c>
      <c r="H45" s="6">
        <f>15+166</f>
        <v>181</v>
      </c>
      <c r="I45" s="9">
        <f>0+13</f>
        <v>13</v>
      </c>
      <c r="J45" s="9">
        <f>62+125</f>
        <v>187</v>
      </c>
      <c r="K45" s="21">
        <f t="shared" ref="K45:K50" si="6">J45*100/B45</f>
        <v>30.706075533661739</v>
      </c>
    </row>
    <row r="46" spans="1:11" ht="19.5" customHeight="1" x14ac:dyDescent="0.35">
      <c r="A46" s="5">
        <v>2555</v>
      </c>
      <c r="B46" s="6">
        <f>39+42+41+177</f>
        <v>299</v>
      </c>
      <c r="C46" s="6"/>
      <c r="D46" s="6"/>
      <c r="E46" s="6"/>
      <c r="F46" s="6"/>
      <c r="G46" s="6">
        <v>6</v>
      </c>
      <c r="H46" s="28">
        <f>60+3</f>
        <v>63</v>
      </c>
      <c r="I46" s="12">
        <f>13+54</f>
        <v>67</v>
      </c>
      <c r="J46" s="12">
        <f>60+9</f>
        <v>69</v>
      </c>
      <c r="K46" s="21">
        <f t="shared" si="6"/>
        <v>23.076923076923077</v>
      </c>
    </row>
    <row r="47" spans="1:11" ht="19.5" customHeight="1" x14ac:dyDescent="0.35">
      <c r="A47" s="5">
        <v>2556</v>
      </c>
      <c r="B47" s="6">
        <f>41+39+38+183</f>
        <v>301</v>
      </c>
      <c r="C47" s="6"/>
      <c r="D47" s="6"/>
      <c r="E47" s="6"/>
      <c r="F47" s="6"/>
      <c r="G47" s="6"/>
      <c r="H47" s="6"/>
      <c r="I47" s="29">
        <f>66+29</f>
        <v>95</v>
      </c>
      <c r="J47" s="12">
        <f>66+29</f>
        <v>95</v>
      </c>
      <c r="K47" s="21">
        <f t="shared" si="6"/>
        <v>31.561461794019934</v>
      </c>
    </row>
    <row r="48" spans="1:11" ht="19.5" customHeight="1" x14ac:dyDescent="0.35">
      <c r="A48" s="5">
        <v>2557</v>
      </c>
      <c r="B48" s="6">
        <f>49+45+39+192</f>
        <v>325</v>
      </c>
      <c r="C48" s="6"/>
      <c r="D48" s="6"/>
      <c r="E48" s="6"/>
      <c r="F48" s="6"/>
      <c r="G48" s="6"/>
      <c r="H48" s="6"/>
      <c r="I48" s="29">
        <f>1+1</f>
        <v>2</v>
      </c>
      <c r="J48" s="12">
        <f>1+1</f>
        <v>2</v>
      </c>
      <c r="K48" s="21">
        <f t="shared" si="6"/>
        <v>0.61538461538461542</v>
      </c>
    </row>
    <row r="49" spans="1:11" ht="19.5" customHeight="1" x14ac:dyDescent="0.35">
      <c r="A49" s="5">
        <v>2558</v>
      </c>
      <c r="B49" s="6">
        <f>46+45+48+79</f>
        <v>218</v>
      </c>
      <c r="C49" s="6"/>
      <c r="D49" s="6"/>
      <c r="E49" s="6"/>
      <c r="F49" s="6"/>
      <c r="G49" s="6"/>
      <c r="H49" s="6"/>
      <c r="I49" s="12"/>
      <c r="J49" s="12"/>
      <c r="K49" s="21">
        <f t="shared" si="6"/>
        <v>0</v>
      </c>
    </row>
    <row r="50" spans="1:11" ht="19.5" customHeight="1" x14ac:dyDescent="0.35">
      <c r="A50" s="5">
        <v>2559</v>
      </c>
      <c r="B50" s="6">
        <f>40+35+110</f>
        <v>185</v>
      </c>
      <c r="C50" s="6"/>
      <c r="D50" s="6"/>
      <c r="E50" s="6"/>
      <c r="F50" s="6"/>
      <c r="G50" s="6"/>
      <c r="H50" s="6"/>
      <c r="I50" s="12"/>
      <c r="J50" s="12"/>
      <c r="K50" s="21">
        <f t="shared" si="6"/>
        <v>0</v>
      </c>
    </row>
    <row r="51" spans="1:11" ht="19.5" customHeight="1" x14ac:dyDescent="0.35">
      <c r="A51" s="19" t="s">
        <v>0</v>
      </c>
      <c r="B51" s="20">
        <f>SUM(B44:B50)</f>
        <v>2518</v>
      </c>
      <c r="C51" s="19"/>
      <c r="D51" s="19"/>
      <c r="E51" s="19">
        <f t="shared" ref="E51:J51" si="7">SUM(E44:E50)</f>
        <v>30</v>
      </c>
      <c r="F51" s="19">
        <f t="shared" si="7"/>
        <v>112</v>
      </c>
      <c r="G51" s="19">
        <f t="shared" si="7"/>
        <v>367</v>
      </c>
      <c r="H51" s="19">
        <f t="shared" si="7"/>
        <v>262</v>
      </c>
      <c r="I51" s="19">
        <f t="shared" si="7"/>
        <v>182</v>
      </c>
      <c r="J51" s="19">
        <f t="shared" si="7"/>
        <v>483</v>
      </c>
      <c r="K51" s="32"/>
    </row>
    <row r="52" spans="1:11" s="4" customFormat="1" ht="21.75" customHeight="1" x14ac:dyDescent="0.4">
      <c r="A52" s="33" t="s">
        <v>26</v>
      </c>
      <c r="B52" s="1"/>
      <c r="C52" s="1"/>
      <c r="D52" s="1"/>
      <c r="E52" s="1"/>
      <c r="F52" s="1"/>
      <c r="G52" s="1"/>
      <c r="H52" s="1"/>
      <c r="I52" s="2"/>
      <c r="J52" s="2"/>
      <c r="K52" s="2"/>
    </row>
    <row r="53" spans="1:11" s="4" customFormat="1" ht="12.75" customHeight="1" x14ac:dyDescent="0.4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</row>
    <row r="54" spans="1:11" s="4" customFormat="1" ht="12.75" customHeight="1" x14ac:dyDescent="0.4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</row>
    <row r="55" spans="1:11" ht="23.25" x14ac:dyDescent="0.35">
      <c r="A55" s="48" t="s">
        <v>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23.25" customHeight="1" x14ac:dyDescent="0.35">
      <c r="A56" s="8" t="s">
        <v>18</v>
      </c>
      <c r="B56" s="3"/>
      <c r="C56" s="3"/>
      <c r="D56" s="3"/>
      <c r="E56" s="3"/>
      <c r="F56" s="3"/>
      <c r="G56" s="3"/>
      <c r="H56" s="3"/>
      <c r="I56" s="3"/>
      <c r="J56" s="10"/>
      <c r="K56" s="10"/>
    </row>
    <row r="57" spans="1:11" ht="24" customHeight="1" x14ac:dyDescent="0.35">
      <c r="A57" s="45" t="s">
        <v>15</v>
      </c>
      <c r="B57" s="45" t="s">
        <v>1</v>
      </c>
      <c r="C57" s="49" t="s">
        <v>17</v>
      </c>
      <c r="D57" s="50"/>
      <c r="E57" s="50"/>
      <c r="F57" s="50"/>
      <c r="G57" s="50"/>
      <c r="H57" s="50"/>
      <c r="I57" s="51"/>
      <c r="J57" s="52" t="s">
        <v>16</v>
      </c>
      <c r="K57" s="54" t="s">
        <v>25</v>
      </c>
    </row>
    <row r="58" spans="1:11" ht="41.1" customHeight="1" x14ac:dyDescent="0.35">
      <c r="A58" s="46"/>
      <c r="B58" s="45"/>
      <c r="C58" s="15">
        <v>2553</v>
      </c>
      <c r="D58" s="15">
        <v>2554</v>
      </c>
      <c r="E58" s="13">
        <v>2555</v>
      </c>
      <c r="F58" s="13">
        <v>2556</v>
      </c>
      <c r="G58" s="13">
        <v>2557</v>
      </c>
      <c r="H58" s="13">
        <v>2558</v>
      </c>
      <c r="I58" s="13">
        <v>2559</v>
      </c>
      <c r="J58" s="53"/>
      <c r="K58" s="55"/>
    </row>
    <row r="59" spans="1:11" ht="19.5" customHeight="1" x14ac:dyDescent="0.35">
      <c r="A59" s="5">
        <v>2553</v>
      </c>
      <c r="B59" s="5">
        <v>44</v>
      </c>
      <c r="C59" s="6">
        <v>40</v>
      </c>
      <c r="D59" s="6">
        <v>39</v>
      </c>
      <c r="E59" s="6">
        <f>B59-J59</f>
        <v>39</v>
      </c>
      <c r="F59" s="28">
        <v>9</v>
      </c>
      <c r="G59" s="6">
        <v>0</v>
      </c>
      <c r="H59" s="6">
        <v>0</v>
      </c>
      <c r="I59" s="9">
        <v>0</v>
      </c>
      <c r="J59" s="9">
        <v>5</v>
      </c>
      <c r="K59" s="21">
        <v>88.64</v>
      </c>
    </row>
    <row r="60" spans="1:11" ht="19.5" customHeight="1" x14ac:dyDescent="0.35">
      <c r="A60" s="5">
        <v>2554</v>
      </c>
      <c r="B60" s="5">
        <f>10+36</f>
        <v>46</v>
      </c>
      <c r="C60" s="6"/>
      <c r="D60" s="6">
        <f>8+35</f>
        <v>43</v>
      </c>
      <c r="E60" s="6">
        <f>6+35</f>
        <v>41</v>
      </c>
      <c r="F60" s="6">
        <v>41</v>
      </c>
      <c r="G60" s="28">
        <v>31</v>
      </c>
      <c r="H60" s="6">
        <v>0</v>
      </c>
      <c r="I60" s="9">
        <v>0</v>
      </c>
      <c r="J60" s="9">
        <f>4+1</f>
        <v>5</v>
      </c>
      <c r="K60" s="21">
        <v>89.13</v>
      </c>
    </row>
    <row r="61" spans="1:11" ht="19.5" customHeight="1" x14ac:dyDescent="0.35">
      <c r="A61" s="5">
        <v>2555</v>
      </c>
      <c r="B61" s="5">
        <v>25</v>
      </c>
      <c r="C61" s="6"/>
      <c r="D61" s="6"/>
      <c r="E61" s="6">
        <v>24</v>
      </c>
      <c r="F61" s="6">
        <v>22</v>
      </c>
      <c r="G61" s="6">
        <v>22</v>
      </c>
      <c r="H61" s="28">
        <v>19</v>
      </c>
      <c r="I61" s="9">
        <v>0</v>
      </c>
      <c r="J61" s="9">
        <v>3</v>
      </c>
      <c r="K61" s="21">
        <v>88</v>
      </c>
    </row>
    <row r="62" spans="1:11" ht="19.5" customHeight="1" x14ac:dyDescent="0.35">
      <c r="A62" s="5">
        <v>2556</v>
      </c>
      <c r="B62" s="5">
        <v>19</v>
      </c>
      <c r="C62" s="6"/>
      <c r="D62" s="6"/>
      <c r="E62" s="6"/>
      <c r="F62" s="6">
        <v>15</v>
      </c>
      <c r="G62" s="6">
        <v>13</v>
      </c>
      <c r="H62" s="6">
        <v>12</v>
      </c>
      <c r="I62" s="29">
        <f>B62-J62</f>
        <v>12</v>
      </c>
      <c r="J62" s="9">
        <v>7</v>
      </c>
      <c r="K62" s="21">
        <f>I62/B62*100</f>
        <v>63.157894736842103</v>
      </c>
    </row>
    <row r="63" spans="1:11" ht="19.5" customHeight="1" x14ac:dyDescent="0.35">
      <c r="A63" s="5">
        <v>2557</v>
      </c>
      <c r="B63" s="5">
        <v>24</v>
      </c>
      <c r="C63" s="6"/>
      <c r="D63" s="6"/>
      <c r="E63" s="6"/>
      <c r="F63" s="6"/>
      <c r="G63" s="6">
        <v>21</v>
      </c>
      <c r="H63" s="6">
        <v>20</v>
      </c>
      <c r="I63" s="29">
        <f t="shared" ref="I63:I65" si="8">B63-J63</f>
        <v>20</v>
      </c>
      <c r="J63" s="9">
        <v>4</v>
      </c>
      <c r="K63" s="21">
        <f t="shared" ref="K63:K65" si="9">I63/B63*100</f>
        <v>83.333333333333343</v>
      </c>
    </row>
    <row r="64" spans="1:11" ht="19.5" customHeight="1" x14ac:dyDescent="0.35">
      <c r="A64" s="5">
        <v>2558</v>
      </c>
      <c r="B64" s="5">
        <v>37</v>
      </c>
      <c r="C64" s="6"/>
      <c r="D64" s="6"/>
      <c r="E64" s="6"/>
      <c r="F64" s="6"/>
      <c r="G64" s="6"/>
      <c r="H64" s="6">
        <v>30</v>
      </c>
      <c r="I64" s="29">
        <f t="shared" si="8"/>
        <v>30</v>
      </c>
      <c r="J64" s="9">
        <v>7</v>
      </c>
      <c r="K64" s="21">
        <f t="shared" si="9"/>
        <v>81.081081081081081</v>
      </c>
    </row>
    <row r="65" spans="1:11" ht="19.5" customHeight="1" x14ac:dyDescent="0.35">
      <c r="A65" s="5">
        <v>2559</v>
      </c>
      <c r="B65" s="5">
        <v>17</v>
      </c>
      <c r="C65" s="6"/>
      <c r="D65" s="6"/>
      <c r="E65" s="6"/>
      <c r="F65" s="6"/>
      <c r="G65" s="6"/>
      <c r="H65" s="6"/>
      <c r="I65" s="29">
        <f t="shared" si="8"/>
        <v>16</v>
      </c>
      <c r="J65" s="9">
        <v>1</v>
      </c>
      <c r="K65" s="21">
        <f t="shared" si="9"/>
        <v>94.117647058823522</v>
      </c>
    </row>
    <row r="66" spans="1:11" ht="19.5" customHeight="1" x14ac:dyDescent="0.35">
      <c r="A66" s="7" t="s">
        <v>0</v>
      </c>
      <c r="B66" s="7">
        <f>SUM(B59:B65)</f>
        <v>212</v>
      </c>
      <c r="C66" s="7">
        <f>SUM(C59:C65)</f>
        <v>40</v>
      </c>
      <c r="D66" s="7">
        <f t="shared" ref="D66:G66" si="10">SUM(D59:D65)</f>
        <v>82</v>
      </c>
      <c r="E66" s="7">
        <f t="shared" si="10"/>
        <v>104</v>
      </c>
      <c r="F66" s="7">
        <f t="shared" si="10"/>
        <v>87</v>
      </c>
      <c r="G66" s="7">
        <f t="shared" si="10"/>
        <v>87</v>
      </c>
      <c r="H66" s="7">
        <f t="shared" ref="H66:J66" si="11">SUM(H59:H65)</f>
        <v>81</v>
      </c>
      <c r="I66" s="7">
        <f t="shared" si="11"/>
        <v>78</v>
      </c>
      <c r="J66" s="7">
        <f t="shared" si="11"/>
        <v>32</v>
      </c>
      <c r="K66" s="32"/>
    </row>
    <row r="67" spans="1:11" s="4" customFormat="1" ht="12.75" customHeight="1" x14ac:dyDescent="0.4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</row>
    <row r="68" spans="1:11" ht="23.25" customHeight="1" x14ac:dyDescent="0.35">
      <c r="A68" s="8" t="s">
        <v>19</v>
      </c>
      <c r="B68" s="3"/>
      <c r="C68" s="3"/>
      <c r="D68" s="3"/>
      <c r="E68" s="3"/>
      <c r="F68" s="3"/>
      <c r="G68" s="3"/>
      <c r="H68" s="3"/>
      <c r="I68" s="3"/>
      <c r="J68" s="14"/>
      <c r="K68" s="14"/>
    </row>
    <row r="69" spans="1:11" ht="24" customHeight="1" x14ac:dyDescent="0.35">
      <c r="A69" s="60" t="s">
        <v>15</v>
      </c>
      <c r="B69" s="60" t="s">
        <v>1</v>
      </c>
      <c r="C69" s="62" t="s">
        <v>20</v>
      </c>
      <c r="D69" s="63"/>
      <c r="E69" s="63"/>
      <c r="F69" s="63"/>
      <c r="G69" s="63"/>
      <c r="H69" s="63"/>
      <c r="I69" s="64"/>
      <c r="J69" s="56" t="s">
        <v>21</v>
      </c>
      <c r="K69" s="58" t="s">
        <v>23</v>
      </c>
    </row>
    <row r="70" spans="1:11" ht="41.1" customHeight="1" x14ac:dyDescent="0.35">
      <c r="A70" s="61"/>
      <c r="B70" s="60"/>
      <c r="C70" s="17">
        <v>2553</v>
      </c>
      <c r="D70" s="17">
        <v>2554</v>
      </c>
      <c r="E70" s="18">
        <v>2555</v>
      </c>
      <c r="F70" s="18">
        <v>2556</v>
      </c>
      <c r="G70" s="18">
        <v>2557</v>
      </c>
      <c r="H70" s="18">
        <v>2558</v>
      </c>
      <c r="I70" s="18">
        <v>2559</v>
      </c>
      <c r="J70" s="57"/>
      <c r="K70" s="59"/>
    </row>
    <row r="71" spans="1:11" ht="19.5" customHeight="1" x14ac:dyDescent="0.35">
      <c r="A71" s="5">
        <v>2553</v>
      </c>
      <c r="B71" s="5">
        <v>44</v>
      </c>
      <c r="C71" s="6"/>
      <c r="D71" s="6"/>
      <c r="E71" s="28">
        <v>30</v>
      </c>
      <c r="F71" s="28">
        <v>9</v>
      </c>
      <c r="G71" s="6">
        <v>0</v>
      </c>
      <c r="H71" s="6">
        <v>0</v>
      </c>
      <c r="I71" s="9">
        <v>0</v>
      </c>
      <c r="J71" s="9">
        <v>39</v>
      </c>
      <c r="K71" s="21">
        <f>J71*100/B71</f>
        <v>88.63636363636364</v>
      </c>
    </row>
    <row r="72" spans="1:11" ht="19.5" customHeight="1" x14ac:dyDescent="0.35">
      <c r="A72" s="5">
        <v>2554</v>
      </c>
      <c r="B72" s="5">
        <f>10+36</f>
        <v>46</v>
      </c>
      <c r="C72" s="6"/>
      <c r="D72" s="6"/>
      <c r="E72" s="6"/>
      <c r="F72" s="28">
        <f>2+8</f>
        <v>10</v>
      </c>
      <c r="G72" s="28">
        <f>4+18</f>
        <v>22</v>
      </c>
      <c r="H72" s="6">
        <f>0+9</f>
        <v>9</v>
      </c>
      <c r="I72" s="9">
        <v>0</v>
      </c>
      <c r="J72" s="9">
        <f>6+26</f>
        <v>32</v>
      </c>
      <c r="K72" s="21">
        <f>J72*100/B72</f>
        <v>69.565217391304344</v>
      </c>
    </row>
    <row r="73" spans="1:11" ht="19.5" customHeight="1" x14ac:dyDescent="0.35">
      <c r="A73" s="5">
        <v>2555</v>
      </c>
      <c r="B73" s="5">
        <v>25</v>
      </c>
      <c r="C73" s="6"/>
      <c r="D73" s="6"/>
      <c r="E73" s="6"/>
      <c r="F73" s="6"/>
      <c r="G73" s="28">
        <v>3</v>
      </c>
      <c r="H73" s="28">
        <v>19</v>
      </c>
      <c r="I73" s="9">
        <v>0</v>
      </c>
      <c r="J73" s="9">
        <v>22</v>
      </c>
      <c r="K73" s="21">
        <f t="shared" ref="K73:K77" si="12">J73*100/B73</f>
        <v>88</v>
      </c>
    </row>
    <row r="74" spans="1:11" ht="19.5" customHeight="1" x14ac:dyDescent="0.35">
      <c r="A74" s="5">
        <v>2556</v>
      </c>
      <c r="B74" s="5">
        <v>19</v>
      </c>
      <c r="C74" s="6"/>
      <c r="D74" s="6"/>
      <c r="E74" s="6"/>
      <c r="F74" s="6"/>
      <c r="G74" s="6"/>
      <c r="H74" s="6"/>
      <c r="I74" s="29">
        <v>7</v>
      </c>
      <c r="J74" s="9">
        <v>7</v>
      </c>
      <c r="K74" s="21">
        <f t="shared" si="12"/>
        <v>36.842105263157897</v>
      </c>
    </row>
    <row r="75" spans="1:11" ht="19.5" customHeight="1" x14ac:dyDescent="0.35">
      <c r="A75" s="5">
        <v>2557</v>
      </c>
      <c r="B75" s="5">
        <v>24</v>
      </c>
      <c r="C75" s="6"/>
      <c r="D75" s="6"/>
      <c r="E75" s="6"/>
      <c r="F75" s="6"/>
      <c r="G75" s="6"/>
      <c r="H75" s="6"/>
      <c r="I75" s="29">
        <v>2</v>
      </c>
      <c r="J75" s="9">
        <v>2</v>
      </c>
      <c r="K75" s="21">
        <f t="shared" si="12"/>
        <v>8.3333333333333339</v>
      </c>
    </row>
    <row r="76" spans="1:11" ht="19.5" customHeight="1" x14ac:dyDescent="0.35">
      <c r="A76" s="5">
        <v>2558</v>
      </c>
      <c r="B76" s="5">
        <v>37</v>
      </c>
      <c r="C76" s="6"/>
      <c r="D76" s="6"/>
      <c r="E76" s="6"/>
      <c r="F76" s="6"/>
      <c r="G76" s="6"/>
      <c r="H76" s="6"/>
      <c r="I76" s="9"/>
      <c r="J76" s="9"/>
      <c r="K76" s="21">
        <f t="shared" si="12"/>
        <v>0</v>
      </c>
    </row>
    <row r="77" spans="1:11" ht="19.5" customHeight="1" x14ac:dyDescent="0.35">
      <c r="A77" s="5">
        <v>2559</v>
      </c>
      <c r="B77" s="5">
        <v>17</v>
      </c>
      <c r="C77" s="6"/>
      <c r="D77" s="6"/>
      <c r="E77" s="6"/>
      <c r="F77" s="6"/>
      <c r="G77" s="6"/>
      <c r="H77" s="6"/>
      <c r="I77" s="9"/>
      <c r="J77" s="9"/>
      <c r="K77" s="21">
        <f t="shared" si="12"/>
        <v>0</v>
      </c>
    </row>
    <row r="78" spans="1:11" ht="19.5" customHeight="1" x14ac:dyDescent="0.35">
      <c r="A78" s="19" t="s">
        <v>0</v>
      </c>
      <c r="B78" s="19">
        <f>SUM(B71:B77)</f>
        <v>212</v>
      </c>
      <c r="C78" s="19"/>
      <c r="D78" s="19"/>
      <c r="E78" s="19">
        <f>SUM(E71:E77)</f>
        <v>30</v>
      </c>
      <c r="F78" s="19">
        <f>SUM(F71:F77)</f>
        <v>19</v>
      </c>
      <c r="G78" s="19">
        <f t="shared" ref="G78:I78" si="13">SUM(G71:G77)</f>
        <v>25</v>
      </c>
      <c r="H78" s="19">
        <f t="shared" si="13"/>
        <v>28</v>
      </c>
      <c r="I78" s="19">
        <f t="shared" si="13"/>
        <v>9</v>
      </c>
      <c r="J78" s="19">
        <f>SUM(J71:J77)</f>
        <v>102</v>
      </c>
      <c r="K78" s="23">
        <f>J78*100/B78</f>
        <v>48.113207547169814</v>
      </c>
    </row>
    <row r="79" spans="1:11" s="4" customFormat="1" ht="22.5" customHeight="1" x14ac:dyDescent="0.4">
      <c r="A79" s="33" t="s">
        <v>26</v>
      </c>
      <c r="B79" s="1"/>
      <c r="C79" s="1"/>
      <c r="D79" s="1"/>
      <c r="E79" s="1"/>
      <c r="F79" s="1"/>
      <c r="G79" s="1"/>
      <c r="H79" s="1"/>
      <c r="I79" s="2"/>
      <c r="J79" s="2"/>
      <c r="K79" s="2"/>
    </row>
    <row r="80" spans="1:11" s="4" customFormat="1" ht="12.75" customHeight="1" x14ac:dyDescent="0.4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</row>
    <row r="81" spans="1:11" s="4" customFormat="1" ht="12.75" customHeight="1" x14ac:dyDescent="0.4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</row>
    <row r="82" spans="1:11" ht="23.25" x14ac:dyDescent="0.35">
      <c r="A82" s="47" t="s">
        <v>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1:11" ht="23.25" customHeight="1" x14ac:dyDescent="0.35">
      <c r="A83" s="8" t="s">
        <v>18</v>
      </c>
      <c r="B83" s="3"/>
      <c r="C83" s="3"/>
      <c r="D83" s="3"/>
      <c r="E83" s="3"/>
      <c r="F83" s="3"/>
      <c r="G83" s="3"/>
      <c r="H83" s="3"/>
      <c r="I83" s="3"/>
      <c r="J83" s="10"/>
      <c r="K83" s="10"/>
    </row>
    <row r="84" spans="1:11" ht="24" customHeight="1" x14ac:dyDescent="0.35">
      <c r="A84" s="45" t="s">
        <v>15</v>
      </c>
      <c r="B84" s="45" t="s">
        <v>1</v>
      </c>
      <c r="C84" s="49" t="s">
        <v>17</v>
      </c>
      <c r="D84" s="50"/>
      <c r="E84" s="50"/>
      <c r="F84" s="50"/>
      <c r="G84" s="50"/>
      <c r="H84" s="50"/>
      <c r="I84" s="51"/>
      <c r="J84" s="52" t="s">
        <v>16</v>
      </c>
      <c r="K84" s="54" t="s">
        <v>25</v>
      </c>
    </row>
    <row r="85" spans="1:11" ht="41.1" customHeight="1" x14ac:dyDescent="0.35">
      <c r="A85" s="46"/>
      <c r="B85" s="45"/>
      <c r="C85" s="15">
        <v>2553</v>
      </c>
      <c r="D85" s="15">
        <v>2554</v>
      </c>
      <c r="E85" s="13">
        <v>2555</v>
      </c>
      <c r="F85" s="13">
        <v>2556</v>
      </c>
      <c r="G85" s="13">
        <v>2557</v>
      </c>
      <c r="H85" s="13">
        <v>2558</v>
      </c>
      <c r="I85" s="13">
        <v>2559</v>
      </c>
      <c r="J85" s="53"/>
      <c r="K85" s="55"/>
    </row>
    <row r="86" spans="1:11" ht="19.5" customHeight="1" x14ac:dyDescent="0.35">
      <c r="A86" s="5">
        <v>2553</v>
      </c>
      <c r="B86" s="5">
        <f>22+26</f>
        <v>48</v>
      </c>
      <c r="C86" s="6">
        <f>18+26</f>
        <v>44</v>
      </c>
      <c r="D86" s="6">
        <f>11+9</f>
        <v>20</v>
      </c>
      <c r="E86" s="6">
        <f>11+10</f>
        <v>21</v>
      </c>
      <c r="F86" s="28">
        <v>23</v>
      </c>
      <c r="G86" s="6">
        <f>0+1</f>
        <v>1</v>
      </c>
      <c r="H86" s="6">
        <v>0</v>
      </c>
      <c r="I86" s="9">
        <v>0</v>
      </c>
      <c r="J86" s="9">
        <v>25</v>
      </c>
      <c r="K86" s="21">
        <v>47.92</v>
      </c>
    </row>
    <row r="87" spans="1:11" ht="19.5" customHeight="1" x14ac:dyDescent="0.35">
      <c r="A87" s="5">
        <v>2554</v>
      </c>
      <c r="B87" s="5">
        <f>43+71</f>
        <v>114</v>
      </c>
      <c r="C87" s="6"/>
      <c r="D87" s="6">
        <f>35+55</f>
        <v>90</v>
      </c>
      <c r="E87" s="6">
        <f>29+44</f>
        <v>73</v>
      </c>
      <c r="F87" s="6">
        <f>20+47</f>
        <v>67</v>
      </c>
      <c r="G87" s="28">
        <f>B87-J87</f>
        <v>89</v>
      </c>
      <c r="H87" s="6">
        <v>68</v>
      </c>
      <c r="I87" s="9">
        <v>35</v>
      </c>
      <c r="J87" s="9">
        <v>25</v>
      </c>
      <c r="K87" s="21">
        <v>78.069999999999993</v>
      </c>
    </row>
    <row r="88" spans="1:11" ht="19.5" customHeight="1" x14ac:dyDescent="0.35">
      <c r="A88" s="5">
        <v>2555</v>
      </c>
      <c r="B88" s="5">
        <f>43+44</f>
        <v>87</v>
      </c>
      <c r="C88" s="6"/>
      <c r="D88" s="6"/>
      <c r="E88" s="6">
        <f>37+44</f>
        <v>81</v>
      </c>
      <c r="F88" s="6">
        <f>30+30</f>
        <v>60</v>
      </c>
      <c r="G88" s="6">
        <f>24+27</f>
        <v>51</v>
      </c>
      <c r="H88" s="28">
        <f>B88-J88</f>
        <v>67</v>
      </c>
      <c r="I88" s="9">
        <v>56</v>
      </c>
      <c r="J88" s="9">
        <v>20</v>
      </c>
      <c r="K88" s="21">
        <v>54.02</v>
      </c>
    </row>
    <row r="89" spans="1:11" ht="19.5" customHeight="1" x14ac:dyDescent="0.35">
      <c r="A89" s="5">
        <v>2556</v>
      </c>
      <c r="B89" s="5">
        <f>47+45+76</f>
        <v>168</v>
      </c>
      <c r="C89" s="6"/>
      <c r="D89" s="6"/>
      <c r="E89" s="6"/>
      <c r="F89" s="6">
        <f>79+63</f>
        <v>142</v>
      </c>
      <c r="G89" s="6">
        <v>134</v>
      </c>
      <c r="H89" s="6">
        <v>134</v>
      </c>
      <c r="I89" s="29">
        <f>B89-J89</f>
        <v>134</v>
      </c>
      <c r="J89" s="9">
        <v>34</v>
      </c>
      <c r="K89" s="21">
        <f>I89/B89*100</f>
        <v>79.761904761904773</v>
      </c>
    </row>
    <row r="90" spans="1:11" ht="19.5" customHeight="1" x14ac:dyDescent="0.35">
      <c r="A90" s="5">
        <v>2557</v>
      </c>
      <c r="B90" s="5">
        <f>44+42+37+81</f>
        <v>204</v>
      </c>
      <c r="C90" s="6"/>
      <c r="D90" s="6"/>
      <c r="E90" s="6"/>
      <c r="F90" s="6"/>
      <c r="G90" s="6">
        <f>95+70</f>
        <v>165</v>
      </c>
      <c r="H90" s="6">
        <f>78+49</f>
        <v>127</v>
      </c>
      <c r="I90" s="29">
        <f>B90-J90</f>
        <v>155</v>
      </c>
      <c r="J90" s="9">
        <v>49</v>
      </c>
      <c r="K90" s="21">
        <f t="shared" ref="K90:K92" si="14">I90/B90*100</f>
        <v>75.980392156862735</v>
      </c>
    </row>
    <row r="91" spans="1:11" ht="19.5" customHeight="1" x14ac:dyDescent="0.35">
      <c r="A91" s="5">
        <v>2558</v>
      </c>
      <c r="B91" s="5">
        <f>122+23</f>
        <v>145</v>
      </c>
      <c r="C91" s="6"/>
      <c r="D91" s="6"/>
      <c r="E91" s="6"/>
      <c r="F91" s="6"/>
      <c r="G91" s="6"/>
      <c r="H91" s="6">
        <f>109+17</f>
        <v>126</v>
      </c>
      <c r="I91" s="29">
        <f t="shared" ref="I91:I92" si="15">B91-J91</f>
        <v>118</v>
      </c>
      <c r="J91" s="9">
        <v>27</v>
      </c>
      <c r="K91" s="21">
        <f t="shared" si="14"/>
        <v>81.379310344827587</v>
      </c>
    </row>
    <row r="92" spans="1:11" ht="19.5" customHeight="1" x14ac:dyDescent="0.35">
      <c r="A92" s="5">
        <v>2559</v>
      </c>
      <c r="B92" s="5">
        <f>61+48</f>
        <v>109</v>
      </c>
      <c r="C92" s="6"/>
      <c r="D92" s="6"/>
      <c r="E92" s="6"/>
      <c r="F92" s="6"/>
      <c r="G92" s="6"/>
      <c r="H92" s="6"/>
      <c r="I92" s="29">
        <f t="shared" si="15"/>
        <v>105</v>
      </c>
      <c r="J92" s="9">
        <v>4</v>
      </c>
      <c r="K92" s="21">
        <f t="shared" si="14"/>
        <v>96.330275229357795</v>
      </c>
    </row>
    <row r="93" spans="1:11" ht="19.5" customHeight="1" x14ac:dyDescent="0.35">
      <c r="A93" s="7" t="s">
        <v>0</v>
      </c>
      <c r="B93" s="7">
        <f>SUM(B86:B92)</f>
        <v>875</v>
      </c>
      <c r="C93" s="7">
        <f t="shared" ref="C93:J93" si="16">SUM(C86:C92)</f>
        <v>44</v>
      </c>
      <c r="D93" s="7">
        <f t="shared" si="16"/>
        <v>110</v>
      </c>
      <c r="E93" s="7">
        <f t="shared" si="16"/>
        <v>175</v>
      </c>
      <c r="F93" s="7">
        <f t="shared" si="16"/>
        <v>292</v>
      </c>
      <c r="G93" s="7">
        <f t="shared" si="16"/>
        <v>440</v>
      </c>
      <c r="H93" s="7">
        <f t="shared" si="16"/>
        <v>522</v>
      </c>
      <c r="I93" s="7">
        <f t="shared" si="16"/>
        <v>603</v>
      </c>
      <c r="J93" s="7">
        <f t="shared" si="16"/>
        <v>184</v>
      </c>
      <c r="K93" s="32"/>
    </row>
    <row r="94" spans="1:11" s="4" customFormat="1" ht="12.75" customHeight="1" x14ac:dyDescent="0.4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</row>
    <row r="95" spans="1:11" ht="23.25" customHeight="1" x14ac:dyDescent="0.35">
      <c r="A95" s="8" t="s">
        <v>19</v>
      </c>
      <c r="B95" s="3"/>
      <c r="C95" s="3"/>
      <c r="D95" s="3"/>
      <c r="E95" s="3"/>
      <c r="F95" s="3"/>
      <c r="G95" s="3"/>
      <c r="H95" s="3"/>
      <c r="I95" s="3"/>
      <c r="J95" s="14"/>
      <c r="K95" s="14"/>
    </row>
    <row r="96" spans="1:11" ht="24" customHeight="1" x14ac:dyDescent="0.35">
      <c r="A96" s="60" t="s">
        <v>15</v>
      </c>
      <c r="B96" s="60" t="s">
        <v>1</v>
      </c>
      <c r="C96" s="62" t="s">
        <v>20</v>
      </c>
      <c r="D96" s="63"/>
      <c r="E96" s="63"/>
      <c r="F96" s="63"/>
      <c r="G96" s="63"/>
      <c r="H96" s="63"/>
      <c r="I96" s="64"/>
      <c r="J96" s="56" t="s">
        <v>21</v>
      </c>
      <c r="K96" s="58" t="s">
        <v>23</v>
      </c>
    </row>
    <row r="97" spans="1:11" ht="41.1" customHeight="1" x14ac:dyDescent="0.35">
      <c r="A97" s="61"/>
      <c r="B97" s="60"/>
      <c r="C97" s="17">
        <v>2553</v>
      </c>
      <c r="D97" s="17">
        <v>2554</v>
      </c>
      <c r="E97" s="18">
        <v>2555</v>
      </c>
      <c r="F97" s="18">
        <v>2556</v>
      </c>
      <c r="G97" s="18">
        <v>2557</v>
      </c>
      <c r="H97" s="18">
        <v>2558</v>
      </c>
      <c r="I97" s="18">
        <v>2559</v>
      </c>
      <c r="J97" s="57"/>
      <c r="K97" s="59"/>
    </row>
    <row r="98" spans="1:11" ht="19.5" customHeight="1" x14ac:dyDescent="0.35">
      <c r="A98" s="5">
        <v>2553</v>
      </c>
      <c r="B98" s="5">
        <f>22+26</f>
        <v>48</v>
      </c>
      <c r="C98" s="6"/>
      <c r="D98" s="6"/>
      <c r="E98" s="6"/>
      <c r="F98" s="28">
        <v>10</v>
      </c>
      <c r="G98" s="6">
        <f>0+9</f>
        <v>9</v>
      </c>
      <c r="H98" s="6">
        <f>0+4</f>
        <v>4</v>
      </c>
      <c r="I98" s="9">
        <v>0</v>
      </c>
      <c r="J98" s="9">
        <v>10</v>
      </c>
      <c r="K98" s="21">
        <f>J98*100/B98</f>
        <v>20.833333333333332</v>
      </c>
    </row>
    <row r="99" spans="1:11" ht="19.5" customHeight="1" x14ac:dyDescent="0.35">
      <c r="A99" s="5">
        <v>2554</v>
      </c>
      <c r="B99" s="5">
        <f>43+71</f>
        <v>114</v>
      </c>
      <c r="C99" s="6"/>
      <c r="D99" s="6"/>
      <c r="E99" s="6"/>
      <c r="F99" s="6"/>
      <c r="G99" s="28">
        <f>17+4</f>
        <v>21</v>
      </c>
      <c r="H99" s="6">
        <f>1+32</f>
        <v>33</v>
      </c>
      <c r="I99" s="9">
        <f>0+3</f>
        <v>3</v>
      </c>
      <c r="J99" s="9">
        <f>17+4</f>
        <v>21</v>
      </c>
      <c r="K99" s="21">
        <f t="shared" ref="K99:K104" si="17">J99*100/B99</f>
        <v>18.421052631578949</v>
      </c>
    </row>
    <row r="100" spans="1:11" ht="19.5" customHeight="1" x14ac:dyDescent="0.35">
      <c r="A100" s="5">
        <v>2555</v>
      </c>
      <c r="B100" s="5">
        <f>43+44</f>
        <v>87</v>
      </c>
      <c r="C100" s="6"/>
      <c r="D100" s="6"/>
      <c r="E100" s="6"/>
      <c r="F100" s="6"/>
      <c r="G100" s="6"/>
      <c r="H100" s="28">
        <v>11</v>
      </c>
      <c r="I100" s="9">
        <f>10+21</f>
        <v>31</v>
      </c>
      <c r="J100" s="9">
        <v>11</v>
      </c>
      <c r="K100" s="21">
        <f t="shared" si="17"/>
        <v>12.64367816091954</v>
      </c>
    </row>
    <row r="101" spans="1:11" ht="19.5" customHeight="1" x14ac:dyDescent="0.35">
      <c r="A101" s="5">
        <v>2556</v>
      </c>
      <c r="B101" s="5">
        <f>47+45+76</f>
        <v>168</v>
      </c>
      <c r="C101" s="6"/>
      <c r="D101" s="6"/>
      <c r="E101" s="6"/>
      <c r="F101" s="6"/>
      <c r="G101" s="6"/>
      <c r="H101" s="6"/>
      <c r="I101" s="29">
        <f>1+4</f>
        <v>5</v>
      </c>
      <c r="J101" s="9">
        <f>1+4</f>
        <v>5</v>
      </c>
      <c r="K101" s="21">
        <f t="shared" si="17"/>
        <v>2.9761904761904763</v>
      </c>
    </row>
    <row r="102" spans="1:11" ht="19.5" customHeight="1" x14ac:dyDescent="0.35">
      <c r="A102" s="5">
        <v>2557</v>
      </c>
      <c r="B102" s="5">
        <f>44+42+37+81</f>
        <v>204</v>
      </c>
      <c r="C102" s="6"/>
      <c r="D102" s="6"/>
      <c r="E102" s="6"/>
      <c r="F102" s="6"/>
      <c r="G102" s="6"/>
      <c r="H102" s="6"/>
      <c r="I102" s="9"/>
      <c r="J102" s="9"/>
      <c r="K102" s="21">
        <f t="shared" si="17"/>
        <v>0</v>
      </c>
    </row>
    <row r="103" spans="1:11" ht="19.5" customHeight="1" x14ac:dyDescent="0.35">
      <c r="A103" s="5">
        <v>2558</v>
      </c>
      <c r="B103" s="5">
        <f>122+23</f>
        <v>145</v>
      </c>
      <c r="C103" s="6"/>
      <c r="D103" s="6"/>
      <c r="E103" s="6"/>
      <c r="F103" s="6"/>
      <c r="G103" s="6"/>
      <c r="H103" s="6"/>
      <c r="I103" s="9"/>
      <c r="J103" s="9"/>
      <c r="K103" s="21">
        <f t="shared" si="17"/>
        <v>0</v>
      </c>
    </row>
    <row r="104" spans="1:11" ht="19.5" customHeight="1" x14ac:dyDescent="0.35">
      <c r="A104" s="5">
        <v>2559</v>
      </c>
      <c r="B104" s="5">
        <f>61+48</f>
        <v>109</v>
      </c>
      <c r="C104" s="6"/>
      <c r="D104" s="6"/>
      <c r="E104" s="6"/>
      <c r="F104" s="6"/>
      <c r="G104" s="6"/>
      <c r="H104" s="6"/>
      <c r="I104" s="9"/>
      <c r="J104" s="9"/>
      <c r="K104" s="21">
        <f t="shared" si="17"/>
        <v>0</v>
      </c>
    </row>
    <row r="105" spans="1:11" ht="19.5" customHeight="1" x14ac:dyDescent="0.35">
      <c r="A105" s="19" t="s">
        <v>0</v>
      </c>
      <c r="B105" s="19">
        <f>SUM(B98:B104)</f>
        <v>875</v>
      </c>
      <c r="C105" s="19"/>
      <c r="D105" s="19"/>
      <c r="E105" s="19"/>
      <c r="F105" s="19">
        <f>SUM(F98:F104)</f>
        <v>10</v>
      </c>
      <c r="G105" s="19">
        <f t="shared" ref="G105:J105" si="18">SUM(G98:G104)</f>
        <v>30</v>
      </c>
      <c r="H105" s="19">
        <f t="shared" si="18"/>
        <v>48</v>
      </c>
      <c r="I105" s="19">
        <f t="shared" si="18"/>
        <v>39</v>
      </c>
      <c r="J105" s="19">
        <f t="shared" si="18"/>
        <v>47</v>
      </c>
      <c r="K105" s="32"/>
    </row>
    <row r="106" spans="1:11" s="4" customFormat="1" ht="19.5" customHeight="1" x14ac:dyDescent="0.4">
      <c r="A106" s="33" t="s">
        <v>26</v>
      </c>
      <c r="B106" s="1"/>
      <c r="C106" s="1"/>
      <c r="D106" s="1"/>
      <c r="E106" s="1"/>
      <c r="F106" s="1"/>
      <c r="G106" s="1"/>
      <c r="H106" s="1"/>
      <c r="I106" s="2"/>
      <c r="J106" s="2"/>
      <c r="K106" s="2"/>
    </row>
    <row r="107" spans="1:11" s="4" customFormat="1" ht="12.75" customHeight="1" x14ac:dyDescent="0.4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</row>
    <row r="108" spans="1:11" s="4" customFormat="1" ht="12.75" customHeight="1" x14ac:dyDescent="0.4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</row>
    <row r="109" spans="1:11" ht="23.25" x14ac:dyDescent="0.35">
      <c r="A109" s="48" t="s">
        <v>9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1:11" ht="23.25" customHeight="1" x14ac:dyDescent="0.35">
      <c r="A110" s="8" t="s">
        <v>18</v>
      </c>
      <c r="B110" s="3"/>
      <c r="C110" s="3"/>
      <c r="D110" s="3"/>
      <c r="E110" s="3"/>
      <c r="F110" s="3"/>
      <c r="G110" s="3"/>
      <c r="H110" s="3"/>
      <c r="I110" s="3"/>
      <c r="J110" s="10"/>
      <c r="K110" s="10"/>
    </row>
    <row r="111" spans="1:11" ht="24" customHeight="1" x14ac:dyDescent="0.35">
      <c r="A111" s="45" t="s">
        <v>15</v>
      </c>
      <c r="B111" s="45" t="s">
        <v>1</v>
      </c>
      <c r="C111" s="49" t="s">
        <v>17</v>
      </c>
      <c r="D111" s="50"/>
      <c r="E111" s="50"/>
      <c r="F111" s="50"/>
      <c r="G111" s="50"/>
      <c r="H111" s="50"/>
      <c r="I111" s="51"/>
      <c r="J111" s="52" t="s">
        <v>16</v>
      </c>
      <c r="K111" s="54" t="s">
        <v>25</v>
      </c>
    </row>
    <row r="112" spans="1:11" ht="41.1" customHeight="1" x14ac:dyDescent="0.35">
      <c r="A112" s="46"/>
      <c r="B112" s="45"/>
      <c r="C112" s="15">
        <v>2553</v>
      </c>
      <c r="D112" s="15">
        <v>2554</v>
      </c>
      <c r="E112" s="13">
        <v>2555</v>
      </c>
      <c r="F112" s="13">
        <v>2556</v>
      </c>
      <c r="G112" s="13">
        <v>2557</v>
      </c>
      <c r="H112" s="13">
        <v>2558</v>
      </c>
      <c r="I112" s="13">
        <v>2559</v>
      </c>
      <c r="J112" s="53"/>
      <c r="K112" s="55"/>
    </row>
    <row r="113" spans="1:11" ht="19.5" customHeight="1" x14ac:dyDescent="0.35">
      <c r="A113" s="5">
        <v>2553</v>
      </c>
      <c r="B113" s="5">
        <v>22</v>
      </c>
      <c r="C113" s="6">
        <v>21</v>
      </c>
      <c r="D113" s="6">
        <v>14</v>
      </c>
      <c r="E113" s="6">
        <v>13</v>
      </c>
      <c r="F113" s="28">
        <f>B113-J113</f>
        <v>13</v>
      </c>
      <c r="G113" s="6">
        <v>0</v>
      </c>
      <c r="H113" s="6">
        <v>0</v>
      </c>
      <c r="I113" s="9">
        <v>0</v>
      </c>
      <c r="J113" s="9">
        <v>9</v>
      </c>
      <c r="K113" s="21">
        <f>F113/B113*100</f>
        <v>59.090909090909093</v>
      </c>
    </row>
    <row r="114" spans="1:11" ht="19.5" customHeight="1" x14ac:dyDescent="0.35">
      <c r="A114" s="5">
        <v>2554</v>
      </c>
      <c r="B114" s="5">
        <v>34</v>
      </c>
      <c r="C114" s="6"/>
      <c r="D114" s="6">
        <v>30</v>
      </c>
      <c r="E114" s="6">
        <v>25</v>
      </c>
      <c r="F114" s="6">
        <v>25</v>
      </c>
      <c r="G114" s="28">
        <f>B114-J114</f>
        <v>25</v>
      </c>
      <c r="H114" s="6">
        <v>0</v>
      </c>
      <c r="I114" s="9">
        <v>0</v>
      </c>
      <c r="J114" s="9">
        <v>9</v>
      </c>
      <c r="K114" s="21">
        <f>G114/B114*100</f>
        <v>73.529411764705884</v>
      </c>
    </row>
    <row r="115" spans="1:11" ht="19.5" customHeight="1" x14ac:dyDescent="0.35">
      <c r="A115" s="5">
        <v>2555</v>
      </c>
      <c r="B115" s="5">
        <v>46</v>
      </c>
      <c r="C115" s="6"/>
      <c r="D115" s="6"/>
      <c r="E115" s="6">
        <v>43</v>
      </c>
      <c r="F115" s="6">
        <v>40</v>
      </c>
      <c r="G115" s="6">
        <v>36</v>
      </c>
      <c r="H115" s="28">
        <f>B115-J115</f>
        <v>36</v>
      </c>
      <c r="I115" s="9">
        <v>1</v>
      </c>
      <c r="J115" s="9">
        <v>10</v>
      </c>
      <c r="K115" s="21">
        <f>H115/B115*100</f>
        <v>78.260869565217391</v>
      </c>
    </row>
    <row r="116" spans="1:11" ht="19.5" customHeight="1" x14ac:dyDescent="0.35">
      <c r="A116" s="5">
        <v>2556</v>
      </c>
      <c r="B116" s="5">
        <f>30+32</f>
        <v>62</v>
      </c>
      <c r="C116" s="6"/>
      <c r="D116" s="6"/>
      <c r="E116" s="6"/>
      <c r="F116" s="6">
        <v>55</v>
      </c>
      <c r="G116" s="6">
        <v>48</v>
      </c>
      <c r="H116" s="6">
        <v>46</v>
      </c>
      <c r="I116" s="29">
        <f>B116-J116</f>
        <v>47</v>
      </c>
      <c r="J116" s="9">
        <v>15</v>
      </c>
      <c r="K116" s="21">
        <f>I116/B116*100</f>
        <v>75.806451612903231</v>
      </c>
    </row>
    <row r="117" spans="1:11" ht="19.5" customHeight="1" x14ac:dyDescent="0.35">
      <c r="A117" s="5">
        <v>2557</v>
      </c>
      <c r="B117" s="5">
        <v>51</v>
      </c>
      <c r="C117" s="6"/>
      <c r="D117" s="6"/>
      <c r="E117" s="6"/>
      <c r="F117" s="6"/>
      <c r="G117" s="6">
        <v>45</v>
      </c>
      <c r="H117" s="6">
        <v>40</v>
      </c>
      <c r="I117" s="29">
        <f t="shared" ref="I117:I119" si="19">B117-J117</f>
        <v>38</v>
      </c>
      <c r="J117" s="9">
        <v>13</v>
      </c>
      <c r="K117" s="21">
        <f t="shared" ref="K117:K119" si="20">I117/B117*100</f>
        <v>74.509803921568633</v>
      </c>
    </row>
    <row r="118" spans="1:11" ht="19.5" customHeight="1" x14ac:dyDescent="0.35">
      <c r="A118" s="5">
        <v>2558</v>
      </c>
      <c r="B118" s="5">
        <f>24+23</f>
        <v>47</v>
      </c>
      <c r="C118" s="6"/>
      <c r="D118" s="6"/>
      <c r="E118" s="6"/>
      <c r="F118" s="6"/>
      <c r="G118" s="6"/>
      <c r="H118" s="6">
        <v>36</v>
      </c>
      <c r="I118" s="29">
        <f t="shared" si="19"/>
        <v>34</v>
      </c>
      <c r="J118" s="9">
        <v>13</v>
      </c>
      <c r="K118" s="21">
        <f t="shared" si="20"/>
        <v>72.340425531914903</v>
      </c>
    </row>
    <row r="119" spans="1:11" ht="19.5" customHeight="1" x14ac:dyDescent="0.35">
      <c r="A119" s="5">
        <v>2559</v>
      </c>
      <c r="B119" s="5">
        <v>27</v>
      </c>
      <c r="C119" s="6"/>
      <c r="D119" s="6"/>
      <c r="E119" s="6"/>
      <c r="F119" s="6"/>
      <c r="G119" s="6"/>
      <c r="H119" s="6"/>
      <c r="I119" s="29">
        <f t="shared" si="19"/>
        <v>27</v>
      </c>
      <c r="J119" s="9">
        <v>0</v>
      </c>
      <c r="K119" s="21">
        <f t="shared" si="20"/>
        <v>100</v>
      </c>
    </row>
    <row r="120" spans="1:11" ht="19.5" customHeight="1" x14ac:dyDescent="0.35">
      <c r="A120" s="7" t="s">
        <v>0</v>
      </c>
      <c r="B120" s="7">
        <f>SUM(B113:B119)</f>
        <v>289</v>
      </c>
      <c r="C120" s="7">
        <f t="shared" ref="C120:J120" si="21">SUM(C113:C119)</f>
        <v>21</v>
      </c>
      <c r="D120" s="7">
        <f t="shared" si="21"/>
        <v>44</v>
      </c>
      <c r="E120" s="7">
        <f t="shared" si="21"/>
        <v>81</v>
      </c>
      <c r="F120" s="7">
        <f t="shared" si="21"/>
        <v>133</v>
      </c>
      <c r="G120" s="7">
        <f t="shared" si="21"/>
        <v>154</v>
      </c>
      <c r="H120" s="7">
        <f t="shared" si="21"/>
        <v>158</v>
      </c>
      <c r="I120" s="7">
        <f t="shared" si="21"/>
        <v>147</v>
      </c>
      <c r="J120" s="7">
        <f t="shared" si="21"/>
        <v>69</v>
      </c>
      <c r="K120" s="32"/>
    </row>
    <row r="121" spans="1:11" s="4" customFormat="1" ht="12.75" customHeight="1" x14ac:dyDescent="0.4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</row>
    <row r="122" spans="1:11" ht="23.25" customHeight="1" x14ac:dyDescent="0.35">
      <c r="A122" s="8" t="s">
        <v>19</v>
      </c>
      <c r="B122" s="3"/>
      <c r="C122" s="3"/>
      <c r="D122" s="3"/>
      <c r="E122" s="3"/>
      <c r="F122" s="3"/>
      <c r="G122" s="3"/>
      <c r="H122" s="3"/>
      <c r="I122" s="3"/>
      <c r="J122" s="14"/>
      <c r="K122" s="14"/>
    </row>
    <row r="123" spans="1:11" ht="24" customHeight="1" x14ac:dyDescent="0.35">
      <c r="A123" s="60" t="s">
        <v>15</v>
      </c>
      <c r="B123" s="60" t="s">
        <v>1</v>
      </c>
      <c r="C123" s="62" t="s">
        <v>20</v>
      </c>
      <c r="D123" s="63"/>
      <c r="E123" s="63"/>
      <c r="F123" s="63"/>
      <c r="G123" s="63"/>
      <c r="H123" s="63"/>
      <c r="I123" s="64"/>
      <c r="J123" s="56" t="s">
        <v>21</v>
      </c>
      <c r="K123" s="58" t="s">
        <v>23</v>
      </c>
    </row>
    <row r="124" spans="1:11" ht="41.1" customHeight="1" x14ac:dyDescent="0.35">
      <c r="A124" s="61"/>
      <c r="B124" s="60"/>
      <c r="C124" s="17">
        <v>2553</v>
      </c>
      <c r="D124" s="17">
        <v>2554</v>
      </c>
      <c r="E124" s="18">
        <v>2555</v>
      </c>
      <c r="F124" s="18">
        <v>2556</v>
      </c>
      <c r="G124" s="18">
        <v>2557</v>
      </c>
      <c r="H124" s="18">
        <v>2558</v>
      </c>
      <c r="I124" s="18">
        <v>2559</v>
      </c>
      <c r="J124" s="57"/>
      <c r="K124" s="59"/>
    </row>
    <row r="125" spans="1:11" ht="19.5" customHeight="1" x14ac:dyDescent="0.35">
      <c r="A125" s="5">
        <v>2553</v>
      </c>
      <c r="B125" s="5">
        <v>22</v>
      </c>
      <c r="C125" s="6"/>
      <c r="D125" s="6"/>
      <c r="E125" s="6"/>
      <c r="F125" s="28">
        <v>11</v>
      </c>
      <c r="G125" s="6">
        <v>2</v>
      </c>
      <c r="H125" s="6">
        <v>0</v>
      </c>
      <c r="I125" s="9">
        <v>0</v>
      </c>
      <c r="J125" s="9">
        <v>11</v>
      </c>
      <c r="K125" s="21">
        <f>J125*100/B125</f>
        <v>50</v>
      </c>
    </row>
    <row r="126" spans="1:11" ht="19.5" customHeight="1" x14ac:dyDescent="0.35">
      <c r="A126" s="5">
        <v>2554</v>
      </c>
      <c r="B126" s="5">
        <v>34</v>
      </c>
      <c r="C126" s="6"/>
      <c r="D126" s="6"/>
      <c r="E126" s="6"/>
      <c r="F126" s="6"/>
      <c r="G126" s="28">
        <v>25</v>
      </c>
      <c r="H126" s="6">
        <v>0</v>
      </c>
      <c r="I126" s="9">
        <v>0</v>
      </c>
      <c r="J126" s="9">
        <v>25</v>
      </c>
      <c r="K126" s="21">
        <f t="shared" ref="K126:K131" si="22">J126*100/B126</f>
        <v>73.529411764705884</v>
      </c>
    </row>
    <row r="127" spans="1:11" ht="19.5" customHeight="1" x14ac:dyDescent="0.35">
      <c r="A127" s="5">
        <v>2555</v>
      </c>
      <c r="B127" s="5">
        <v>46</v>
      </c>
      <c r="C127" s="6"/>
      <c r="D127" s="6"/>
      <c r="E127" s="6"/>
      <c r="F127" s="6"/>
      <c r="G127" s="6"/>
      <c r="H127" s="28">
        <v>32</v>
      </c>
      <c r="I127" s="9">
        <v>3</v>
      </c>
      <c r="J127" s="9">
        <v>32</v>
      </c>
      <c r="K127" s="21">
        <f t="shared" si="22"/>
        <v>69.565217391304344</v>
      </c>
    </row>
    <row r="128" spans="1:11" ht="19.5" customHeight="1" x14ac:dyDescent="0.35">
      <c r="A128" s="5">
        <v>2556</v>
      </c>
      <c r="B128" s="5">
        <f>30+32</f>
        <v>62</v>
      </c>
      <c r="C128" s="6"/>
      <c r="D128" s="6"/>
      <c r="E128" s="6"/>
      <c r="F128" s="6"/>
      <c r="G128" s="6"/>
      <c r="H128" s="6"/>
      <c r="I128" s="29">
        <v>42</v>
      </c>
      <c r="J128" s="9">
        <v>42</v>
      </c>
      <c r="K128" s="21">
        <f t="shared" si="22"/>
        <v>67.741935483870961</v>
      </c>
    </row>
    <row r="129" spans="1:11" ht="19.5" customHeight="1" x14ac:dyDescent="0.35">
      <c r="A129" s="5">
        <v>2557</v>
      </c>
      <c r="B129" s="5">
        <v>51</v>
      </c>
      <c r="C129" s="6"/>
      <c r="D129" s="6"/>
      <c r="E129" s="6"/>
      <c r="F129" s="6"/>
      <c r="G129" s="6"/>
      <c r="H129" s="6"/>
      <c r="I129" s="9"/>
      <c r="J129" s="9"/>
      <c r="K129" s="21">
        <f t="shared" si="22"/>
        <v>0</v>
      </c>
    </row>
    <row r="130" spans="1:11" ht="19.5" customHeight="1" x14ac:dyDescent="0.35">
      <c r="A130" s="5">
        <v>2558</v>
      </c>
      <c r="B130" s="5">
        <f>24+23</f>
        <v>47</v>
      </c>
      <c r="C130" s="6"/>
      <c r="D130" s="6"/>
      <c r="E130" s="6"/>
      <c r="F130" s="6"/>
      <c r="G130" s="6"/>
      <c r="H130" s="6"/>
      <c r="I130" s="9"/>
      <c r="J130" s="9"/>
      <c r="K130" s="21">
        <f t="shared" si="22"/>
        <v>0</v>
      </c>
    </row>
    <row r="131" spans="1:11" ht="19.5" customHeight="1" x14ac:dyDescent="0.35">
      <c r="A131" s="5">
        <v>2559</v>
      </c>
      <c r="B131" s="5">
        <v>26</v>
      </c>
      <c r="C131" s="6"/>
      <c r="D131" s="6"/>
      <c r="E131" s="6"/>
      <c r="F131" s="6"/>
      <c r="G131" s="6"/>
      <c r="H131" s="6"/>
      <c r="I131" s="9"/>
      <c r="J131" s="9"/>
      <c r="K131" s="21">
        <f t="shared" si="22"/>
        <v>0</v>
      </c>
    </row>
    <row r="132" spans="1:11" ht="19.5" customHeight="1" x14ac:dyDescent="0.35">
      <c r="A132" s="19" t="s">
        <v>0</v>
      </c>
      <c r="B132" s="19">
        <f>SUM(B125:B131)</f>
        <v>288</v>
      </c>
      <c r="C132" s="19"/>
      <c r="D132" s="19"/>
      <c r="E132" s="19"/>
      <c r="F132" s="19">
        <f>SUM(F125:F131)</f>
        <v>11</v>
      </c>
      <c r="G132" s="19">
        <f t="shared" ref="G132:J132" si="23">SUM(G125:G131)</f>
        <v>27</v>
      </c>
      <c r="H132" s="19">
        <f t="shared" si="23"/>
        <v>32</v>
      </c>
      <c r="I132" s="19">
        <f t="shared" si="23"/>
        <v>45</v>
      </c>
      <c r="J132" s="19">
        <f t="shared" si="23"/>
        <v>110</v>
      </c>
      <c r="K132" s="32"/>
    </row>
    <row r="133" spans="1:11" s="4" customFormat="1" ht="12.75" customHeight="1" x14ac:dyDescent="0.4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</row>
    <row r="134" spans="1:11" s="4" customFormat="1" ht="12.75" customHeight="1" x14ac:dyDescent="0.4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</row>
    <row r="135" spans="1:11" s="4" customFormat="1" ht="12.75" customHeight="1" x14ac:dyDescent="0.4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</row>
    <row r="136" spans="1:11" ht="23.25" x14ac:dyDescent="0.35">
      <c r="A136" s="48" t="s">
        <v>8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1:11" ht="23.25" customHeight="1" x14ac:dyDescent="0.35">
      <c r="A137" s="8" t="s">
        <v>18</v>
      </c>
      <c r="B137" s="3"/>
      <c r="C137" s="3"/>
      <c r="D137" s="3"/>
      <c r="E137" s="3"/>
      <c r="F137" s="3"/>
      <c r="G137" s="3"/>
      <c r="H137" s="3"/>
      <c r="I137" s="3"/>
      <c r="J137" s="10"/>
      <c r="K137" s="10"/>
    </row>
    <row r="138" spans="1:11" ht="24" customHeight="1" x14ac:dyDescent="0.35">
      <c r="A138" s="45" t="s">
        <v>15</v>
      </c>
      <c r="B138" s="45" t="s">
        <v>1</v>
      </c>
      <c r="C138" s="49" t="s">
        <v>17</v>
      </c>
      <c r="D138" s="50"/>
      <c r="E138" s="50"/>
      <c r="F138" s="50"/>
      <c r="G138" s="50"/>
      <c r="H138" s="50"/>
      <c r="I138" s="51"/>
      <c r="J138" s="52" t="s">
        <v>16</v>
      </c>
      <c r="K138" s="54" t="s">
        <v>25</v>
      </c>
    </row>
    <row r="139" spans="1:11" ht="41.1" customHeight="1" x14ac:dyDescent="0.35">
      <c r="A139" s="46"/>
      <c r="B139" s="45"/>
      <c r="C139" s="15">
        <v>2553</v>
      </c>
      <c r="D139" s="15">
        <v>2554</v>
      </c>
      <c r="E139" s="13">
        <v>2555</v>
      </c>
      <c r="F139" s="13">
        <v>2556</v>
      </c>
      <c r="G139" s="13">
        <v>2557</v>
      </c>
      <c r="H139" s="13">
        <v>2558</v>
      </c>
      <c r="I139" s="13">
        <v>2559</v>
      </c>
      <c r="J139" s="53"/>
      <c r="K139" s="55"/>
    </row>
    <row r="140" spans="1:11" ht="19.5" customHeight="1" x14ac:dyDescent="0.35">
      <c r="A140" s="5">
        <v>2553</v>
      </c>
      <c r="B140" s="5">
        <f>27+30</f>
        <v>57</v>
      </c>
      <c r="C140" s="6">
        <v>52</v>
      </c>
      <c r="D140" s="6">
        <v>48</v>
      </c>
      <c r="E140" s="6">
        <v>44</v>
      </c>
      <c r="F140" s="28">
        <f>B140-J140</f>
        <v>44</v>
      </c>
      <c r="G140" s="6">
        <v>12</v>
      </c>
      <c r="H140" s="6">
        <v>12</v>
      </c>
      <c r="I140" s="9">
        <v>11</v>
      </c>
      <c r="J140" s="9">
        <v>13</v>
      </c>
      <c r="K140" s="21">
        <f>F140/B140*100</f>
        <v>77.192982456140342</v>
      </c>
    </row>
    <row r="141" spans="1:11" ht="19.5" customHeight="1" x14ac:dyDescent="0.35">
      <c r="A141" s="5">
        <v>2554</v>
      </c>
      <c r="B141" s="5">
        <f>36+29</f>
        <v>65</v>
      </c>
      <c r="C141" s="6"/>
      <c r="D141" s="6">
        <f>25+21</f>
        <v>46</v>
      </c>
      <c r="E141" s="6">
        <f>24+20</f>
        <v>44</v>
      </c>
      <c r="F141" s="6">
        <f>20+17</f>
        <v>37</v>
      </c>
      <c r="G141" s="28">
        <f>B141-J141</f>
        <v>36</v>
      </c>
      <c r="H141" s="6">
        <v>20</v>
      </c>
      <c r="I141" s="9">
        <v>0</v>
      </c>
      <c r="J141" s="9">
        <f>19+10</f>
        <v>29</v>
      </c>
      <c r="K141" s="21">
        <f>G141/B141*100</f>
        <v>55.384615384615387</v>
      </c>
    </row>
    <row r="142" spans="1:11" ht="19.5" customHeight="1" x14ac:dyDescent="0.35">
      <c r="A142" s="5">
        <v>2555</v>
      </c>
      <c r="B142" s="5">
        <f>51+23</f>
        <v>74</v>
      </c>
      <c r="C142" s="6"/>
      <c r="D142" s="6"/>
      <c r="E142" s="6">
        <f>43+23</f>
        <v>66</v>
      </c>
      <c r="F142" s="6">
        <f>40+12</f>
        <v>52</v>
      </c>
      <c r="G142" s="6">
        <f>36+11</f>
        <v>47</v>
      </c>
      <c r="H142" s="28">
        <f>B142-J142</f>
        <v>44</v>
      </c>
      <c r="I142" s="9">
        <f>3+1</f>
        <v>4</v>
      </c>
      <c r="J142" s="9">
        <f>17+13</f>
        <v>30</v>
      </c>
      <c r="K142" s="21">
        <f>H142/B142*100</f>
        <v>59.45945945945946</v>
      </c>
    </row>
    <row r="143" spans="1:11" ht="19.5" customHeight="1" x14ac:dyDescent="0.35">
      <c r="A143" s="5">
        <v>2556</v>
      </c>
      <c r="B143" s="5">
        <f>54+63</f>
        <v>117</v>
      </c>
      <c r="C143" s="6"/>
      <c r="D143" s="6"/>
      <c r="E143" s="6"/>
      <c r="F143" s="6">
        <f>42+49</f>
        <v>91</v>
      </c>
      <c r="G143" s="6">
        <f>35+36</f>
        <v>71</v>
      </c>
      <c r="H143" s="6">
        <f>34+33</f>
        <v>67</v>
      </c>
      <c r="I143" s="29">
        <f>B143-J143</f>
        <v>67</v>
      </c>
      <c r="J143" s="9">
        <f>20+30</f>
        <v>50</v>
      </c>
      <c r="K143" s="21">
        <f>I143/B143*100</f>
        <v>57.26495726495726</v>
      </c>
    </row>
    <row r="144" spans="1:11" ht="19.5" customHeight="1" x14ac:dyDescent="0.35">
      <c r="A144" s="5">
        <v>2557</v>
      </c>
      <c r="B144" s="5">
        <f>43+34+43</f>
        <v>120</v>
      </c>
      <c r="C144" s="6"/>
      <c r="D144" s="6"/>
      <c r="E144" s="6"/>
      <c r="F144" s="6"/>
      <c r="G144" s="6">
        <f>61+43</f>
        <v>104</v>
      </c>
      <c r="H144" s="6">
        <f>55+27</f>
        <v>82</v>
      </c>
      <c r="I144" s="29">
        <f t="shared" ref="I144:I146" si="24">B144-J144</f>
        <v>83</v>
      </c>
      <c r="J144" s="9">
        <f>24+13</f>
        <v>37</v>
      </c>
      <c r="K144" s="21">
        <f t="shared" ref="K144:K146" si="25">I144/B144*100</f>
        <v>69.166666666666671</v>
      </c>
    </row>
    <row r="145" spans="1:11" ht="19.5" customHeight="1" x14ac:dyDescent="0.35">
      <c r="A145" s="5">
        <v>2558</v>
      </c>
      <c r="B145" s="5">
        <f>29+26</f>
        <v>55</v>
      </c>
      <c r="C145" s="6"/>
      <c r="D145" s="6"/>
      <c r="E145" s="6"/>
      <c r="F145" s="6"/>
      <c r="G145" s="6"/>
      <c r="H145" s="6">
        <v>49</v>
      </c>
      <c r="I145" s="29">
        <f t="shared" si="24"/>
        <v>43</v>
      </c>
      <c r="J145" s="9">
        <v>12</v>
      </c>
      <c r="K145" s="21">
        <f t="shared" si="25"/>
        <v>78.181818181818187</v>
      </c>
    </row>
    <row r="146" spans="1:11" ht="19.5" customHeight="1" x14ac:dyDescent="0.35">
      <c r="A146" s="5">
        <v>2559</v>
      </c>
      <c r="B146" s="5">
        <f>35+13</f>
        <v>48</v>
      </c>
      <c r="C146" s="6"/>
      <c r="D146" s="6"/>
      <c r="E146" s="6"/>
      <c r="F146" s="6"/>
      <c r="G146" s="6"/>
      <c r="H146" s="6"/>
      <c r="I146" s="29">
        <f t="shared" si="24"/>
        <v>45</v>
      </c>
      <c r="J146" s="9">
        <v>3</v>
      </c>
      <c r="K146" s="21">
        <f t="shared" si="25"/>
        <v>93.75</v>
      </c>
    </row>
    <row r="147" spans="1:11" ht="19.5" customHeight="1" x14ac:dyDescent="0.35">
      <c r="A147" s="7" t="s">
        <v>0</v>
      </c>
      <c r="B147" s="7">
        <f>SUM(B140:B146)</f>
        <v>536</v>
      </c>
      <c r="C147" s="7">
        <f t="shared" ref="C147:J147" si="26">SUM(C140:C146)</f>
        <v>52</v>
      </c>
      <c r="D147" s="7">
        <f t="shared" si="26"/>
        <v>94</v>
      </c>
      <c r="E147" s="7">
        <f t="shared" si="26"/>
        <v>154</v>
      </c>
      <c r="F147" s="7">
        <f t="shared" si="26"/>
        <v>224</v>
      </c>
      <c r="G147" s="7">
        <f t="shared" si="26"/>
        <v>270</v>
      </c>
      <c r="H147" s="7">
        <f t="shared" si="26"/>
        <v>274</v>
      </c>
      <c r="I147" s="7">
        <f t="shared" si="26"/>
        <v>253</v>
      </c>
      <c r="J147" s="7">
        <f t="shared" si="26"/>
        <v>174</v>
      </c>
      <c r="K147" s="32"/>
    </row>
    <row r="148" spans="1:11" s="4" customFormat="1" ht="12.75" customHeight="1" x14ac:dyDescent="0.4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</row>
    <row r="149" spans="1:11" ht="23.25" customHeight="1" x14ac:dyDescent="0.35">
      <c r="A149" s="8" t="s">
        <v>19</v>
      </c>
      <c r="B149" s="3"/>
      <c r="C149" s="3"/>
      <c r="D149" s="3"/>
      <c r="E149" s="3"/>
      <c r="F149" s="3"/>
      <c r="G149" s="3"/>
      <c r="H149" s="3"/>
      <c r="I149" s="3"/>
      <c r="J149" s="14"/>
      <c r="K149" s="14"/>
    </row>
    <row r="150" spans="1:11" ht="24" customHeight="1" x14ac:dyDescent="0.35">
      <c r="A150" s="60" t="s">
        <v>15</v>
      </c>
      <c r="B150" s="60" t="s">
        <v>1</v>
      </c>
      <c r="C150" s="62" t="s">
        <v>20</v>
      </c>
      <c r="D150" s="63"/>
      <c r="E150" s="63"/>
      <c r="F150" s="63"/>
      <c r="G150" s="63"/>
      <c r="H150" s="63"/>
      <c r="I150" s="64"/>
      <c r="J150" s="56" t="s">
        <v>21</v>
      </c>
      <c r="K150" s="58" t="s">
        <v>23</v>
      </c>
    </row>
    <row r="151" spans="1:11" ht="41.1" customHeight="1" x14ac:dyDescent="0.35">
      <c r="A151" s="61"/>
      <c r="B151" s="60"/>
      <c r="C151" s="17">
        <v>2553</v>
      </c>
      <c r="D151" s="17">
        <v>2554</v>
      </c>
      <c r="E151" s="18">
        <v>2555</v>
      </c>
      <c r="F151" s="18">
        <v>2556</v>
      </c>
      <c r="G151" s="18">
        <v>2557</v>
      </c>
      <c r="H151" s="18">
        <v>2558</v>
      </c>
      <c r="I151" s="18">
        <v>2559</v>
      </c>
      <c r="J151" s="57"/>
      <c r="K151" s="59"/>
    </row>
    <row r="152" spans="1:11" ht="19.5" customHeight="1" x14ac:dyDescent="0.35">
      <c r="A152" s="5">
        <v>2553</v>
      </c>
      <c r="B152" s="5">
        <f>27+30</f>
        <v>57</v>
      </c>
      <c r="C152" s="6"/>
      <c r="D152" s="6"/>
      <c r="E152" s="6"/>
      <c r="F152" s="28">
        <v>32</v>
      </c>
      <c r="G152" s="6">
        <v>10</v>
      </c>
      <c r="H152" s="6">
        <v>0</v>
      </c>
      <c r="I152" s="9">
        <v>1</v>
      </c>
      <c r="J152" s="9">
        <v>32</v>
      </c>
      <c r="K152" s="21">
        <f>J152*100/B152</f>
        <v>56.140350877192979</v>
      </c>
    </row>
    <row r="153" spans="1:11" ht="19.5" customHeight="1" x14ac:dyDescent="0.35">
      <c r="A153" s="5">
        <v>2554</v>
      </c>
      <c r="B153" s="5">
        <f>36+29</f>
        <v>65</v>
      </c>
      <c r="C153" s="6"/>
      <c r="D153" s="6"/>
      <c r="E153" s="6"/>
      <c r="F153" s="6"/>
      <c r="G153" s="28">
        <f>15+1</f>
        <v>16</v>
      </c>
      <c r="H153" s="6">
        <f>1+17</f>
        <v>18</v>
      </c>
      <c r="I153" s="9">
        <f>1+1</f>
        <v>2</v>
      </c>
      <c r="J153" s="9">
        <f>15+1</f>
        <v>16</v>
      </c>
      <c r="K153" s="21">
        <f t="shared" ref="K153:K158" si="27">J153*100/B153</f>
        <v>24.615384615384617</v>
      </c>
    </row>
    <row r="154" spans="1:11" ht="19.5" customHeight="1" x14ac:dyDescent="0.35">
      <c r="A154" s="5">
        <v>2555</v>
      </c>
      <c r="B154" s="5">
        <f>51+23</f>
        <v>74</v>
      </c>
      <c r="C154" s="6"/>
      <c r="D154" s="6"/>
      <c r="E154" s="6"/>
      <c r="F154" s="6"/>
      <c r="G154" s="6"/>
      <c r="H154" s="28">
        <v>24</v>
      </c>
      <c r="I154" s="9">
        <f>7+9</f>
        <v>16</v>
      </c>
      <c r="J154" s="9">
        <v>24</v>
      </c>
      <c r="K154" s="21">
        <f t="shared" si="27"/>
        <v>32.432432432432435</v>
      </c>
    </row>
    <row r="155" spans="1:11" ht="19.5" customHeight="1" x14ac:dyDescent="0.35">
      <c r="A155" s="5">
        <v>2556</v>
      </c>
      <c r="B155" s="5">
        <f>54+63</f>
        <v>117</v>
      </c>
      <c r="C155" s="6"/>
      <c r="D155" s="6"/>
      <c r="E155" s="6"/>
      <c r="F155" s="6"/>
      <c r="G155" s="6"/>
      <c r="H155" s="6"/>
      <c r="I155" s="29">
        <f>27+1</f>
        <v>28</v>
      </c>
      <c r="J155" s="9">
        <f>27+1</f>
        <v>28</v>
      </c>
      <c r="K155" s="21">
        <f t="shared" si="27"/>
        <v>23.931623931623932</v>
      </c>
    </row>
    <row r="156" spans="1:11" ht="19.5" customHeight="1" x14ac:dyDescent="0.35">
      <c r="A156" s="5">
        <v>2557</v>
      </c>
      <c r="B156" s="5">
        <f>43+34+43</f>
        <v>120</v>
      </c>
      <c r="C156" s="6"/>
      <c r="D156" s="6"/>
      <c r="E156" s="6"/>
      <c r="F156" s="6"/>
      <c r="G156" s="6"/>
      <c r="H156" s="6"/>
      <c r="I156" s="9"/>
      <c r="J156" s="9"/>
      <c r="K156" s="21">
        <f t="shared" si="27"/>
        <v>0</v>
      </c>
    </row>
    <row r="157" spans="1:11" ht="19.5" customHeight="1" x14ac:dyDescent="0.35">
      <c r="A157" s="5">
        <v>2558</v>
      </c>
      <c r="B157" s="5">
        <f>29+26</f>
        <v>55</v>
      </c>
      <c r="C157" s="6"/>
      <c r="D157" s="6"/>
      <c r="E157" s="6"/>
      <c r="F157" s="6"/>
      <c r="G157" s="6"/>
      <c r="H157" s="6"/>
      <c r="I157" s="9"/>
      <c r="J157" s="9"/>
      <c r="K157" s="21">
        <f t="shared" si="27"/>
        <v>0</v>
      </c>
    </row>
    <row r="158" spans="1:11" ht="19.5" customHeight="1" x14ac:dyDescent="0.35">
      <c r="A158" s="5">
        <v>2559</v>
      </c>
      <c r="B158" s="5">
        <f>35+13</f>
        <v>48</v>
      </c>
      <c r="C158" s="6"/>
      <c r="D158" s="6"/>
      <c r="E158" s="6"/>
      <c r="F158" s="6"/>
      <c r="G158" s="6"/>
      <c r="H158" s="6"/>
      <c r="I158" s="9"/>
      <c r="J158" s="9"/>
      <c r="K158" s="21">
        <f t="shared" si="27"/>
        <v>0</v>
      </c>
    </row>
    <row r="159" spans="1:11" ht="19.5" customHeight="1" x14ac:dyDescent="0.35">
      <c r="A159" s="19" t="s">
        <v>0</v>
      </c>
      <c r="B159" s="19">
        <f>SUM(B152:B158)</f>
        <v>536</v>
      </c>
      <c r="C159" s="19"/>
      <c r="D159" s="19"/>
      <c r="E159" s="19"/>
      <c r="F159" s="19">
        <f>SUM(F152:F158)</f>
        <v>32</v>
      </c>
      <c r="G159" s="19">
        <f t="shared" ref="G159:J159" si="28">SUM(G152:G158)</f>
        <v>26</v>
      </c>
      <c r="H159" s="19">
        <f t="shared" si="28"/>
        <v>42</v>
      </c>
      <c r="I159" s="19">
        <f t="shared" si="28"/>
        <v>47</v>
      </c>
      <c r="J159" s="19">
        <f t="shared" si="28"/>
        <v>100</v>
      </c>
      <c r="K159" s="32"/>
    </row>
    <row r="160" spans="1:11" s="4" customFormat="1" ht="12.75" customHeight="1" x14ac:dyDescent="0.4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</row>
    <row r="161" spans="1:11" s="4" customFormat="1" ht="12.75" customHeight="1" x14ac:dyDescent="0.4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</row>
    <row r="162" spans="1:11" s="4" customFormat="1" ht="12.75" customHeight="1" x14ac:dyDescent="0.4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</row>
    <row r="163" spans="1:11" ht="23.25" x14ac:dyDescent="0.35">
      <c r="A163" s="48" t="s">
        <v>7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1:11" ht="23.25" customHeight="1" x14ac:dyDescent="0.35">
      <c r="A164" s="8" t="s">
        <v>18</v>
      </c>
      <c r="B164" s="3"/>
      <c r="C164" s="3"/>
      <c r="D164" s="3"/>
      <c r="E164" s="3"/>
      <c r="F164" s="3"/>
      <c r="G164" s="3"/>
      <c r="H164" s="3"/>
      <c r="I164" s="3"/>
      <c r="J164" s="10"/>
      <c r="K164" s="10"/>
    </row>
    <row r="165" spans="1:11" ht="24" customHeight="1" x14ac:dyDescent="0.35">
      <c r="A165" s="45" t="s">
        <v>15</v>
      </c>
      <c r="B165" s="45" t="s">
        <v>1</v>
      </c>
      <c r="C165" s="49" t="s">
        <v>17</v>
      </c>
      <c r="D165" s="50"/>
      <c r="E165" s="50"/>
      <c r="F165" s="50"/>
      <c r="G165" s="50"/>
      <c r="H165" s="50"/>
      <c r="I165" s="51"/>
      <c r="J165" s="52" t="s">
        <v>16</v>
      </c>
      <c r="K165" s="54" t="s">
        <v>25</v>
      </c>
    </row>
    <row r="166" spans="1:11" ht="41.1" customHeight="1" x14ac:dyDescent="0.35">
      <c r="A166" s="46"/>
      <c r="B166" s="45"/>
      <c r="C166" s="15">
        <v>2553</v>
      </c>
      <c r="D166" s="15">
        <v>2554</v>
      </c>
      <c r="E166" s="13">
        <v>2555</v>
      </c>
      <c r="F166" s="13">
        <v>2556</v>
      </c>
      <c r="G166" s="13">
        <v>2557</v>
      </c>
      <c r="H166" s="13">
        <v>2558</v>
      </c>
      <c r="I166" s="13">
        <v>2559</v>
      </c>
      <c r="J166" s="53"/>
      <c r="K166" s="55"/>
    </row>
    <row r="167" spans="1:11" ht="19.5" customHeight="1" x14ac:dyDescent="0.35">
      <c r="A167" s="5">
        <v>2553</v>
      </c>
      <c r="B167" s="5">
        <f>33+35</f>
        <v>68</v>
      </c>
      <c r="C167" s="6">
        <f>29+27</f>
        <v>56</v>
      </c>
      <c r="D167" s="6">
        <f>24+20</f>
        <v>44</v>
      </c>
      <c r="E167" s="6">
        <f>23+22</f>
        <v>45</v>
      </c>
      <c r="F167" s="28">
        <v>47</v>
      </c>
      <c r="G167" s="6">
        <f>1+1</f>
        <v>2</v>
      </c>
      <c r="H167" s="6">
        <v>0</v>
      </c>
      <c r="I167" s="9">
        <v>0</v>
      </c>
      <c r="J167" s="9">
        <v>21</v>
      </c>
      <c r="K167" s="21">
        <f>(B167-J167-(SUM(C179:I179)))*100/B167</f>
        <v>0</v>
      </c>
    </row>
    <row r="168" spans="1:11" ht="19.5" customHeight="1" x14ac:dyDescent="0.35">
      <c r="A168" s="5">
        <v>2554</v>
      </c>
      <c r="B168" s="5">
        <f>43+18</f>
        <v>61</v>
      </c>
      <c r="C168" s="6"/>
      <c r="D168" s="6">
        <f>35+18</f>
        <v>53</v>
      </c>
      <c r="E168" s="6">
        <f>31+12</f>
        <v>43</v>
      </c>
      <c r="F168" s="6">
        <f>31+11</f>
        <v>42</v>
      </c>
      <c r="G168" s="28">
        <f>26+8</f>
        <v>34</v>
      </c>
      <c r="H168" s="6">
        <v>5</v>
      </c>
      <c r="I168" s="9">
        <v>1</v>
      </c>
      <c r="J168" s="9">
        <f>12+5</f>
        <v>17</v>
      </c>
      <c r="K168" s="21">
        <f t="shared" ref="K168:K174" si="29">(B168-J168-(SUM(C180:I180)))*100/B168</f>
        <v>1.639344262295082</v>
      </c>
    </row>
    <row r="169" spans="1:11" ht="19.5" customHeight="1" x14ac:dyDescent="0.35">
      <c r="A169" s="5">
        <v>2555</v>
      </c>
      <c r="B169" s="5">
        <v>46</v>
      </c>
      <c r="C169" s="6"/>
      <c r="D169" s="6"/>
      <c r="E169" s="6">
        <v>42</v>
      </c>
      <c r="F169" s="6">
        <v>33</v>
      </c>
      <c r="G169" s="6">
        <v>30</v>
      </c>
      <c r="H169" s="28">
        <v>28</v>
      </c>
      <c r="I169" s="9">
        <v>3</v>
      </c>
      <c r="J169" s="9">
        <v>18</v>
      </c>
      <c r="K169" s="21">
        <f t="shared" si="29"/>
        <v>0</v>
      </c>
    </row>
    <row r="170" spans="1:11" ht="19.5" customHeight="1" x14ac:dyDescent="0.35">
      <c r="A170" s="5">
        <v>2556</v>
      </c>
      <c r="B170" s="5">
        <f>32+29</f>
        <v>61</v>
      </c>
      <c r="C170" s="6"/>
      <c r="D170" s="6"/>
      <c r="E170" s="6"/>
      <c r="F170" s="6">
        <v>53</v>
      </c>
      <c r="G170" s="6">
        <v>45</v>
      </c>
      <c r="H170" s="6">
        <v>44</v>
      </c>
      <c r="I170" s="29">
        <v>43</v>
      </c>
      <c r="J170" s="9">
        <v>18</v>
      </c>
      <c r="K170" s="21">
        <f t="shared" si="29"/>
        <v>32.786885245901637</v>
      </c>
    </row>
    <row r="171" spans="1:11" ht="19.5" customHeight="1" x14ac:dyDescent="0.35">
      <c r="A171" s="5">
        <v>2557</v>
      </c>
      <c r="B171" s="5">
        <f>33+24</f>
        <v>57</v>
      </c>
      <c r="C171" s="6"/>
      <c r="D171" s="6"/>
      <c r="E171" s="6"/>
      <c r="F171" s="6"/>
      <c r="G171" s="6">
        <v>46</v>
      </c>
      <c r="H171" s="6">
        <v>34</v>
      </c>
      <c r="I171" s="29">
        <v>34</v>
      </c>
      <c r="J171" s="9">
        <v>23</v>
      </c>
      <c r="K171" s="21">
        <f t="shared" si="29"/>
        <v>59.649122807017541</v>
      </c>
    </row>
    <row r="172" spans="1:11" ht="19.5" customHeight="1" x14ac:dyDescent="0.35">
      <c r="A172" s="5">
        <v>2558</v>
      </c>
      <c r="B172" s="5">
        <v>40</v>
      </c>
      <c r="C172" s="6"/>
      <c r="D172" s="6"/>
      <c r="E172" s="6"/>
      <c r="F172" s="6"/>
      <c r="G172" s="6"/>
      <c r="H172" s="6">
        <v>34</v>
      </c>
      <c r="I172" s="29">
        <v>33</v>
      </c>
      <c r="J172" s="9">
        <v>7</v>
      </c>
      <c r="K172" s="21">
        <f t="shared" si="29"/>
        <v>82.5</v>
      </c>
    </row>
    <row r="173" spans="1:11" ht="19.5" customHeight="1" x14ac:dyDescent="0.35">
      <c r="A173" s="5">
        <v>2559</v>
      </c>
      <c r="B173" s="5">
        <f>24+16</f>
        <v>40</v>
      </c>
      <c r="C173" s="6"/>
      <c r="D173" s="6"/>
      <c r="E173" s="6"/>
      <c r="F173" s="6"/>
      <c r="G173" s="6"/>
      <c r="H173" s="6"/>
      <c r="I173" s="29">
        <v>18</v>
      </c>
      <c r="J173" s="9">
        <v>0</v>
      </c>
      <c r="K173" s="21">
        <f t="shared" si="29"/>
        <v>100</v>
      </c>
    </row>
    <row r="174" spans="1:11" ht="19.5" customHeight="1" x14ac:dyDescent="0.35">
      <c r="A174" s="7" t="s">
        <v>0</v>
      </c>
      <c r="B174" s="7">
        <f>SUM(B167:B173)</f>
        <v>373</v>
      </c>
      <c r="C174" s="7">
        <f t="shared" ref="C174:J174" si="30">SUM(C167:C173)</f>
        <v>56</v>
      </c>
      <c r="D174" s="7">
        <f t="shared" si="30"/>
        <v>97</v>
      </c>
      <c r="E174" s="7">
        <f t="shared" si="30"/>
        <v>130</v>
      </c>
      <c r="F174" s="7">
        <f t="shared" si="30"/>
        <v>175</v>
      </c>
      <c r="G174" s="7">
        <f t="shared" si="30"/>
        <v>157</v>
      </c>
      <c r="H174" s="7">
        <f t="shared" si="30"/>
        <v>145</v>
      </c>
      <c r="I174" s="7">
        <f t="shared" si="30"/>
        <v>132</v>
      </c>
      <c r="J174" s="7">
        <f t="shared" si="30"/>
        <v>104</v>
      </c>
      <c r="K174" s="22">
        <f t="shared" si="29"/>
        <v>34.316353887399465</v>
      </c>
    </row>
    <row r="175" spans="1:11" s="4" customFormat="1" ht="12.75" customHeight="1" x14ac:dyDescent="0.4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</row>
    <row r="176" spans="1:11" ht="23.25" customHeight="1" x14ac:dyDescent="0.35">
      <c r="A176" s="8" t="s">
        <v>19</v>
      </c>
      <c r="B176" s="3"/>
      <c r="C176" s="3"/>
      <c r="D176" s="3"/>
      <c r="E176" s="3"/>
      <c r="F176" s="3"/>
      <c r="G176" s="3"/>
      <c r="H176" s="3"/>
      <c r="I176" s="3"/>
      <c r="J176" s="14"/>
      <c r="K176" s="14"/>
    </row>
    <row r="177" spans="1:11" ht="24" customHeight="1" x14ac:dyDescent="0.35">
      <c r="A177" s="60" t="s">
        <v>15</v>
      </c>
      <c r="B177" s="60" t="s">
        <v>1</v>
      </c>
      <c r="C177" s="62" t="s">
        <v>20</v>
      </c>
      <c r="D177" s="63"/>
      <c r="E177" s="63"/>
      <c r="F177" s="63"/>
      <c r="G177" s="63"/>
      <c r="H177" s="63"/>
      <c r="I177" s="64"/>
      <c r="J177" s="56" t="s">
        <v>21</v>
      </c>
      <c r="K177" s="58" t="s">
        <v>23</v>
      </c>
    </row>
    <row r="178" spans="1:11" ht="41.1" customHeight="1" x14ac:dyDescent="0.35">
      <c r="A178" s="61"/>
      <c r="B178" s="60"/>
      <c r="C178" s="17">
        <v>2553</v>
      </c>
      <c r="D178" s="17">
        <v>2554</v>
      </c>
      <c r="E178" s="18">
        <v>2555</v>
      </c>
      <c r="F178" s="18">
        <v>2556</v>
      </c>
      <c r="G178" s="18">
        <v>2557</v>
      </c>
      <c r="H178" s="18">
        <v>2558</v>
      </c>
      <c r="I178" s="18">
        <v>2559</v>
      </c>
      <c r="J178" s="57"/>
      <c r="K178" s="59"/>
    </row>
    <row r="179" spans="1:11" ht="19.5" customHeight="1" x14ac:dyDescent="0.35">
      <c r="A179" s="5">
        <v>2553</v>
      </c>
      <c r="B179" s="5">
        <f>33+35</f>
        <v>68</v>
      </c>
      <c r="C179" s="6"/>
      <c r="D179" s="6"/>
      <c r="E179" s="6"/>
      <c r="F179" s="28">
        <f>19+6</f>
        <v>25</v>
      </c>
      <c r="G179" s="6">
        <f>5+16</f>
        <v>21</v>
      </c>
      <c r="H179" s="6">
        <f>0+1</f>
        <v>1</v>
      </c>
      <c r="I179" s="9">
        <v>0</v>
      </c>
      <c r="J179" s="9">
        <f>19+6</f>
        <v>25</v>
      </c>
      <c r="K179" s="21">
        <f>J179*100/B179</f>
        <v>36.764705882352942</v>
      </c>
    </row>
    <row r="180" spans="1:11" ht="19.5" customHeight="1" x14ac:dyDescent="0.35">
      <c r="A180" s="5">
        <v>2554</v>
      </c>
      <c r="B180" s="5">
        <f>43+18</f>
        <v>61</v>
      </c>
      <c r="C180" s="6"/>
      <c r="D180" s="6"/>
      <c r="E180" s="6"/>
      <c r="F180" s="28">
        <v>3</v>
      </c>
      <c r="G180" s="28">
        <f>18+3</f>
        <v>21</v>
      </c>
      <c r="H180" s="6">
        <f>9+10</f>
        <v>19</v>
      </c>
      <c r="I180" s="9">
        <v>0</v>
      </c>
      <c r="J180" s="9">
        <f>21+3</f>
        <v>24</v>
      </c>
      <c r="K180" s="21">
        <f t="shared" ref="K180:K185" si="31">J180*100/B180</f>
        <v>39.344262295081968</v>
      </c>
    </row>
    <row r="181" spans="1:11" ht="19.5" customHeight="1" x14ac:dyDescent="0.35">
      <c r="A181" s="5">
        <v>2555</v>
      </c>
      <c r="B181" s="5">
        <v>46</v>
      </c>
      <c r="C181" s="6"/>
      <c r="D181" s="6"/>
      <c r="E181" s="6"/>
      <c r="F181" s="6"/>
      <c r="G181" s="28">
        <v>1</v>
      </c>
      <c r="H181" s="28">
        <v>18</v>
      </c>
      <c r="I181" s="9">
        <v>9</v>
      </c>
      <c r="J181" s="9">
        <v>19</v>
      </c>
      <c r="K181" s="21">
        <f t="shared" si="31"/>
        <v>41.304347826086953</v>
      </c>
    </row>
    <row r="182" spans="1:11" ht="19.5" customHeight="1" x14ac:dyDescent="0.35">
      <c r="A182" s="5">
        <v>2556</v>
      </c>
      <c r="B182" s="5">
        <f>32+29</f>
        <v>61</v>
      </c>
      <c r="C182" s="6"/>
      <c r="D182" s="6"/>
      <c r="E182" s="6"/>
      <c r="F182" s="6"/>
      <c r="G182" s="6"/>
      <c r="H182" s="6"/>
      <c r="I182" s="29">
        <v>23</v>
      </c>
      <c r="J182" s="9">
        <v>23</v>
      </c>
      <c r="K182" s="21">
        <f t="shared" si="31"/>
        <v>37.704918032786885</v>
      </c>
    </row>
    <row r="183" spans="1:11" ht="19.5" customHeight="1" x14ac:dyDescent="0.35">
      <c r="A183" s="5">
        <v>2557</v>
      </c>
      <c r="B183" s="5">
        <f>33+24</f>
        <v>57</v>
      </c>
      <c r="C183" s="6"/>
      <c r="D183" s="6"/>
      <c r="E183" s="6"/>
      <c r="F183" s="6"/>
      <c r="G183" s="6"/>
      <c r="H183" s="6"/>
      <c r="I183" s="9"/>
      <c r="J183" s="9"/>
      <c r="K183" s="21">
        <f t="shared" si="31"/>
        <v>0</v>
      </c>
    </row>
    <row r="184" spans="1:11" ht="19.5" customHeight="1" x14ac:dyDescent="0.35">
      <c r="A184" s="5">
        <v>2558</v>
      </c>
      <c r="B184" s="5">
        <v>40</v>
      </c>
      <c r="C184" s="6"/>
      <c r="D184" s="6"/>
      <c r="E184" s="6"/>
      <c r="F184" s="6"/>
      <c r="G184" s="6"/>
      <c r="H184" s="6"/>
      <c r="I184" s="9"/>
      <c r="J184" s="9"/>
      <c r="K184" s="21">
        <f t="shared" si="31"/>
        <v>0</v>
      </c>
    </row>
    <row r="185" spans="1:11" ht="19.5" customHeight="1" x14ac:dyDescent="0.35">
      <c r="A185" s="5">
        <v>2559</v>
      </c>
      <c r="B185" s="5">
        <f>24+16</f>
        <v>40</v>
      </c>
      <c r="C185" s="6"/>
      <c r="D185" s="6"/>
      <c r="E185" s="6"/>
      <c r="F185" s="6"/>
      <c r="G185" s="6"/>
      <c r="H185" s="6"/>
      <c r="I185" s="9"/>
      <c r="J185" s="9"/>
      <c r="K185" s="21">
        <f t="shared" si="31"/>
        <v>0</v>
      </c>
    </row>
    <row r="186" spans="1:11" ht="19.5" customHeight="1" x14ac:dyDescent="0.35">
      <c r="A186" s="19" t="s">
        <v>0</v>
      </c>
      <c r="B186" s="19">
        <f>SUM(B179:B185)</f>
        <v>373</v>
      </c>
      <c r="C186" s="19"/>
      <c r="D186" s="19"/>
      <c r="E186" s="19"/>
      <c r="F186" s="19">
        <f>SUM(F179:F185)</f>
        <v>28</v>
      </c>
      <c r="G186" s="19">
        <f t="shared" ref="G186:J186" si="32">SUM(G179:G185)</f>
        <v>43</v>
      </c>
      <c r="H186" s="19">
        <f t="shared" si="32"/>
        <v>38</v>
      </c>
      <c r="I186" s="19">
        <f t="shared" si="32"/>
        <v>32</v>
      </c>
      <c r="J186" s="19">
        <f t="shared" si="32"/>
        <v>91</v>
      </c>
      <c r="K186" s="32"/>
    </row>
    <row r="187" spans="1:11" s="4" customFormat="1" ht="12.75" customHeight="1" x14ac:dyDescent="0.4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</row>
    <row r="188" spans="1:11" s="4" customFormat="1" ht="12.75" customHeight="1" x14ac:dyDescent="0.4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</row>
    <row r="189" spans="1:11" s="4" customFormat="1" ht="12.75" customHeight="1" x14ac:dyDescent="0.4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</row>
    <row r="190" spans="1:11" ht="23.25" x14ac:dyDescent="0.35">
      <c r="A190" s="48" t="s">
        <v>14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1:11" ht="23.25" customHeight="1" x14ac:dyDescent="0.35">
      <c r="A191" s="8" t="s">
        <v>18</v>
      </c>
      <c r="B191" s="3"/>
      <c r="C191" s="3"/>
      <c r="D191" s="3"/>
      <c r="E191" s="3"/>
      <c r="F191" s="3"/>
      <c r="G191" s="3"/>
      <c r="H191" s="3"/>
      <c r="I191" s="3"/>
      <c r="J191" s="11"/>
      <c r="K191" s="11"/>
    </row>
    <row r="192" spans="1:11" ht="24" customHeight="1" x14ac:dyDescent="0.35">
      <c r="A192" s="45" t="s">
        <v>15</v>
      </c>
      <c r="B192" s="45" t="s">
        <v>1</v>
      </c>
      <c r="C192" s="49" t="s">
        <v>17</v>
      </c>
      <c r="D192" s="50"/>
      <c r="E192" s="50"/>
      <c r="F192" s="50"/>
      <c r="G192" s="50"/>
      <c r="H192" s="50"/>
      <c r="I192" s="51"/>
      <c r="J192" s="52" t="s">
        <v>16</v>
      </c>
      <c r="K192" s="54" t="s">
        <v>25</v>
      </c>
    </row>
    <row r="193" spans="1:11" ht="41.1" customHeight="1" x14ac:dyDescent="0.35">
      <c r="A193" s="46"/>
      <c r="B193" s="45"/>
      <c r="C193" s="15">
        <v>2553</v>
      </c>
      <c r="D193" s="15">
        <v>2554</v>
      </c>
      <c r="E193" s="13">
        <v>2555</v>
      </c>
      <c r="F193" s="13">
        <v>2556</v>
      </c>
      <c r="G193" s="13">
        <v>2557</v>
      </c>
      <c r="H193" s="13">
        <v>2558</v>
      </c>
      <c r="I193" s="13">
        <v>2559</v>
      </c>
      <c r="J193" s="53"/>
      <c r="K193" s="55"/>
    </row>
    <row r="194" spans="1:11" ht="19.5" customHeight="1" x14ac:dyDescent="0.35">
      <c r="A194" s="5">
        <v>2553</v>
      </c>
      <c r="B194" s="5">
        <v>16</v>
      </c>
      <c r="C194" s="6">
        <v>10</v>
      </c>
      <c r="D194" s="6">
        <v>5</v>
      </c>
      <c r="E194" s="6">
        <v>5</v>
      </c>
      <c r="F194" s="28">
        <v>5</v>
      </c>
      <c r="G194" s="6">
        <v>0</v>
      </c>
      <c r="H194" s="6">
        <v>0</v>
      </c>
      <c r="I194" s="9">
        <v>0</v>
      </c>
      <c r="J194" s="9">
        <v>11</v>
      </c>
      <c r="K194" s="21">
        <v>31.25</v>
      </c>
    </row>
    <row r="195" spans="1:11" ht="19.5" customHeight="1" x14ac:dyDescent="0.35">
      <c r="A195" s="5">
        <v>2554</v>
      </c>
      <c r="B195" s="5">
        <v>34</v>
      </c>
      <c r="C195" s="6"/>
      <c r="D195" s="6">
        <v>25</v>
      </c>
      <c r="E195" s="6">
        <v>19</v>
      </c>
      <c r="F195" s="6">
        <v>16</v>
      </c>
      <c r="G195" s="28">
        <f>B195-J195</f>
        <v>14</v>
      </c>
      <c r="H195" s="6">
        <v>0</v>
      </c>
      <c r="I195" s="9">
        <v>0</v>
      </c>
      <c r="J195" s="9">
        <v>20</v>
      </c>
      <c r="K195" s="21">
        <v>41.78</v>
      </c>
    </row>
    <row r="196" spans="1:11" ht="19.5" customHeight="1" x14ac:dyDescent="0.35">
      <c r="A196" s="5">
        <v>2555</v>
      </c>
      <c r="B196" s="5"/>
      <c r="C196" s="6"/>
      <c r="D196" s="6"/>
      <c r="E196" s="6"/>
      <c r="F196" s="6"/>
      <c r="G196" s="6"/>
      <c r="H196" s="6"/>
      <c r="I196" s="9"/>
      <c r="J196" s="9"/>
      <c r="K196" s="21"/>
    </row>
    <row r="197" spans="1:11" ht="19.5" customHeight="1" x14ac:dyDescent="0.35">
      <c r="A197" s="5">
        <v>2556</v>
      </c>
      <c r="B197" s="5"/>
      <c r="C197" s="6"/>
      <c r="D197" s="6"/>
      <c r="E197" s="6"/>
      <c r="F197" s="6"/>
      <c r="G197" s="6"/>
      <c r="H197" s="6"/>
      <c r="I197" s="9"/>
      <c r="J197" s="9"/>
      <c r="K197" s="21"/>
    </row>
    <row r="198" spans="1:11" ht="19.5" customHeight="1" x14ac:dyDescent="0.35">
      <c r="A198" s="5">
        <v>2557</v>
      </c>
      <c r="B198" s="5"/>
      <c r="C198" s="6"/>
      <c r="D198" s="6"/>
      <c r="E198" s="6"/>
      <c r="F198" s="6"/>
      <c r="G198" s="6"/>
      <c r="H198" s="6"/>
      <c r="I198" s="9"/>
      <c r="J198" s="9"/>
      <c r="K198" s="21"/>
    </row>
    <row r="199" spans="1:11" ht="19.5" customHeight="1" x14ac:dyDescent="0.35">
      <c r="A199" s="5">
        <v>2558</v>
      </c>
      <c r="B199" s="5"/>
      <c r="C199" s="6"/>
      <c r="D199" s="6"/>
      <c r="E199" s="6"/>
      <c r="F199" s="6"/>
      <c r="G199" s="6"/>
      <c r="H199" s="6"/>
      <c r="I199" s="9"/>
      <c r="J199" s="9"/>
      <c r="K199" s="21"/>
    </row>
    <row r="200" spans="1:11" ht="19.5" customHeight="1" x14ac:dyDescent="0.35">
      <c r="A200" s="5">
        <v>2559</v>
      </c>
      <c r="B200" s="5"/>
      <c r="C200" s="6"/>
      <c r="D200" s="6"/>
      <c r="E200" s="6"/>
      <c r="F200" s="6"/>
      <c r="G200" s="6"/>
      <c r="H200" s="6"/>
      <c r="I200" s="9"/>
      <c r="J200" s="9"/>
      <c r="K200" s="21"/>
    </row>
    <row r="201" spans="1:11" ht="19.5" customHeight="1" x14ac:dyDescent="0.35">
      <c r="A201" s="7" t="s">
        <v>0</v>
      </c>
      <c r="B201" s="7">
        <f>SUM(B194:B200)</f>
        <v>50</v>
      </c>
      <c r="C201" s="7">
        <f t="shared" ref="C201:J201" si="33">SUM(C194:C200)</f>
        <v>10</v>
      </c>
      <c r="D201" s="7">
        <f t="shared" si="33"/>
        <v>30</v>
      </c>
      <c r="E201" s="7">
        <f t="shared" si="33"/>
        <v>24</v>
      </c>
      <c r="F201" s="7">
        <f t="shared" si="33"/>
        <v>21</v>
      </c>
      <c r="G201" s="7">
        <f t="shared" si="33"/>
        <v>14</v>
      </c>
      <c r="H201" s="7">
        <f t="shared" ref="H201" si="34">SUM(H194:H200)</f>
        <v>0</v>
      </c>
      <c r="I201" s="7">
        <f t="shared" ref="I201" si="35">SUM(I194:I200)</f>
        <v>0</v>
      </c>
      <c r="J201" s="7">
        <f t="shared" si="33"/>
        <v>31</v>
      </c>
      <c r="K201" s="32"/>
    </row>
    <row r="202" spans="1:11" s="4" customFormat="1" ht="12.75" customHeight="1" x14ac:dyDescent="0.4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</row>
    <row r="203" spans="1:11" ht="23.25" customHeight="1" x14ac:dyDescent="0.35">
      <c r="A203" s="8" t="s">
        <v>19</v>
      </c>
      <c r="B203" s="3"/>
      <c r="C203" s="3"/>
      <c r="D203" s="3"/>
      <c r="E203" s="3"/>
      <c r="F203" s="3"/>
      <c r="G203" s="3"/>
      <c r="H203" s="3"/>
      <c r="I203" s="3"/>
      <c r="J203" s="14"/>
      <c r="K203" s="14"/>
    </row>
    <row r="204" spans="1:11" ht="24" customHeight="1" x14ac:dyDescent="0.35">
      <c r="A204" s="60" t="s">
        <v>15</v>
      </c>
      <c r="B204" s="60" t="s">
        <v>1</v>
      </c>
      <c r="C204" s="62" t="s">
        <v>20</v>
      </c>
      <c r="D204" s="63"/>
      <c r="E204" s="63"/>
      <c r="F204" s="63"/>
      <c r="G204" s="63"/>
      <c r="H204" s="63"/>
      <c r="I204" s="64"/>
      <c r="J204" s="56" t="s">
        <v>21</v>
      </c>
      <c r="K204" s="58" t="s">
        <v>23</v>
      </c>
    </row>
    <row r="205" spans="1:11" ht="41.1" customHeight="1" x14ac:dyDescent="0.35">
      <c r="A205" s="61"/>
      <c r="B205" s="60"/>
      <c r="C205" s="17">
        <v>2553</v>
      </c>
      <c r="D205" s="17">
        <v>2554</v>
      </c>
      <c r="E205" s="18">
        <v>2555</v>
      </c>
      <c r="F205" s="18">
        <v>2556</v>
      </c>
      <c r="G205" s="18">
        <v>2557</v>
      </c>
      <c r="H205" s="18">
        <v>2558</v>
      </c>
      <c r="I205" s="18">
        <v>2559</v>
      </c>
      <c r="J205" s="57"/>
      <c r="K205" s="59"/>
    </row>
    <row r="206" spans="1:11" ht="19.5" customHeight="1" x14ac:dyDescent="0.35">
      <c r="A206" s="5">
        <v>2553</v>
      </c>
      <c r="B206" s="5">
        <v>16</v>
      </c>
      <c r="C206" s="6"/>
      <c r="D206" s="6"/>
      <c r="E206" s="6"/>
      <c r="F206" s="28">
        <v>0</v>
      </c>
      <c r="G206" s="6">
        <v>5</v>
      </c>
      <c r="H206" s="6">
        <v>0</v>
      </c>
      <c r="I206" s="9">
        <v>0</v>
      </c>
      <c r="J206" s="9">
        <v>0</v>
      </c>
      <c r="K206" s="21">
        <f>J206*100/B206</f>
        <v>0</v>
      </c>
    </row>
    <row r="207" spans="1:11" ht="19.5" customHeight="1" x14ac:dyDescent="0.35">
      <c r="A207" s="5">
        <v>2554</v>
      </c>
      <c r="B207" s="5">
        <v>34</v>
      </c>
      <c r="C207" s="6"/>
      <c r="D207" s="6"/>
      <c r="E207" s="6"/>
      <c r="F207" s="6"/>
      <c r="G207" s="28">
        <v>14</v>
      </c>
      <c r="H207" s="6">
        <v>0</v>
      </c>
      <c r="I207" s="9">
        <v>0</v>
      </c>
      <c r="J207" s="9">
        <v>14</v>
      </c>
      <c r="K207" s="21">
        <f t="shared" ref="K207:K213" si="36">J207*100/B207</f>
        <v>41.176470588235297</v>
      </c>
    </row>
    <row r="208" spans="1:11" ht="19.5" customHeight="1" x14ac:dyDescent="0.35">
      <c r="A208" s="5">
        <v>2555</v>
      </c>
      <c r="B208" s="5"/>
      <c r="C208" s="6"/>
      <c r="D208" s="6"/>
      <c r="E208" s="6"/>
      <c r="F208" s="6"/>
      <c r="G208" s="6"/>
      <c r="H208" s="6"/>
      <c r="I208" s="9"/>
      <c r="J208" s="9"/>
      <c r="K208" s="21"/>
    </row>
    <row r="209" spans="1:11" ht="19.5" customHeight="1" x14ac:dyDescent="0.35">
      <c r="A209" s="5">
        <v>2556</v>
      </c>
      <c r="B209" s="5"/>
      <c r="C209" s="6"/>
      <c r="D209" s="6"/>
      <c r="E209" s="6"/>
      <c r="F209" s="6"/>
      <c r="G209" s="6"/>
      <c r="H209" s="6"/>
      <c r="I209" s="9"/>
      <c r="J209" s="9"/>
      <c r="K209" s="21"/>
    </row>
    <row r="210" spans="1:11" ht="19.5" customHeight="1" x14ac:dyDescent="0.35">
      <c r="A210" s="5">
        <v>2557</v>
      </c>
      <c r="B210" s="5"/>
      <c r="C210" s="6"/>
      <c r="D210" s="6"/>
      <c r="E210" s="6"/>
      <c r="F210" s="6"/>
      <c r="G210" s="6"/>
      <c r="H210" s="6"/>
      <c r="I210" s="9"/>
      <c r="J210" s="9"/>
      <c r="K210" s="21"/>
    </row>
    <row r="211" spans="1:11" ht="19.5" customHeight="1" x14ac:dyDescent="0.35">
      <c r="A211" s="5">
        <v>2558</v>
      </c>
      <c r="B211" s="5"/>
      <c r="C211" s="6"/>
      <c r="D211" s="6"/>
      <c r="E211" s="6"/>
      <c r="F211" s="6"/>
      <c r="G211" s="6"/>
      <c r="H211" s="6"/>
      <c r="I211" s="9"/>
      <c r="J211" s="9"/>
      <c r="K211" s="21"/>
    </row>
    <row r="212" spans="1:11" ht="19.5" customHeight="1" x14ac:dyDescent="0.35">
      <c r="A212" s="5">
        <v>2559</v>
      </c>
      <c r="B212" s="5"/>
      <c r="C212" s="6"/>
      <c r="D212" s="6"/>
      <c r="E212" s="6"/>
      <c r="F212" s="6"/>
      <c r="G212" s="6"/>
      <c r="H212" s="6"/>
      <c r="I212" s="9"/>
      <c r="J212" s="9"/>
      <c r="K212" s="21"/>
    </row>
    <row r="213" spans="1:11" ht="19.5" customHeight="1" x14ac:dyDescent="0.35">
      <c r="A213" s="19" t="s">
        <v>0</v>
      </c>
      <c r="B213" s="19">
        <f>SUM(B206:B212)</f>
        <v>50</v>
      </c>
      <c r="C213" s="19"/>
      <c r="D213" s="19"/>
      <c r="E213" s="19"/>
      <c r="F213" s="19">
        <f>SUM(F206:F212)</f>
        <v>0</v>
      </c>
      <c r="G213" s="19">
        <f t="shared" ref="G213:I213" si="37">SUM(G206:G212)</f>
        <v>19</v>
      </c>
      <c r="H213" s="19">
        <f t="shared" si="37"/>
        <v>0</v>
      </c>
      <c r="I213" s="19">
        <f t="shared" si="37"/>
        <v>0</v>
      </c>
      <c r="J213" s="19">
        <f>SUM(J206:J212)</f>
        <v>14</v>
      </c>
      <c r="K213" s="23">
        <f t="shared" si="36"/>
        <v>28</v>
      </c>
    </row>
    <row r="214" spans="1:11" s="4" customFormat="1" ht="12.75" customHeight="1" x14ac:dyDescent="0.4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</row>
    <row r="215" spans="1:11" s="4" customFormat="1" ht="12.75" customHeight="1" x14ac:dyDescent="0.4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</row>
    <row r="216" spans="1:11" s="4" customFormat="1" ht="12.75" customHeight="1" x14ac:dyDescent="0.4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</row>
    <row r="217" spans="1:11" ht="23.25" x14ac:dyDescent="0.35">
      <c r="A217" s="47" t="s">
        <v>10</v>
      </c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1:11" ht="23.25" customHeight="1" x14ac:dyDescent="0.35">
      <c r="A218" s="8" t="s">
        <v>18</v>
      </c>
      <c r="B218" s="3"/>
      <c r="C218" s="3"/>
      <c r="D218" s="3"/>
      <c r="E218" s="3"/>
      <c r="F218" s="3"/>
      <c r="G218" s="3"/>
      <c r="H218" s="3"/>
      <c r="I218" s="3"/>
      <c r="J218" s="10"/>
      <c r="K218" s="10"/>
    </row>
    <row r="219" spans="1:11" ht="24" customHeight="1" x14ac:dyDescent="0.35">
      <c r="A219" s="45" t="s">
        <v>15</v>
      </c>
      <c r="B219" s="45" t="s">
        <v>1</v>
      </c>
      <c r="C219" s="49" t="s">
        <v>17</v>
      </c>
      <c r="D219" s="50"/>
      <c r="E219" s="50"/>
      <c r="F219" s="50"/>
      <c r="G219" s="50"/>
      <c r="H219" s="50"/>
      <c r="I219" s="51"/>
      <c r="J219" s="52" t="s">
        <v>16</v>
      </c>
      <c r="K219" s="54" t="s">
        <v>25</v>
      </c>
    </row>
    <row r="220" spans="1:11" ht="41.1" customHeight="1" x14ac:dyDescent="0.35">
      <c r="A220" s="46"/>
      <c r="B220" s="45"/>
      <c r="C220" s="15">
        <v>2553</v>
      </c>
      <c r="D220" s="15">
        <v>2554</v>
      </c>
      <c r="E220" s="13">
        <v>2555</v>
      </c>
      <c r="F220" s="13">
        <v>2556</v>
      </c>
      <c r="G220" s="13">
        <v>2557</v>
      </c>
      <c r="H220" s="13">
        <v>2558</v>
      </c>
      <c r="I220" s="13">
        <v>2559</v>
      </c>
      <c r="J220" s="53"/>
      <c r="K220" s="55"/>
    </row>
    <row r="221" spans="1:11" ht="19.5" customHeight="1" x14ac:dyDescent="0.35">
      <c r="A221" s="5">
        <v>2553</v>
      </c>
      <c r="B221" s="5">
        <f>40+40+15+131</f>
        <v>226</v>
      </c>
      <c r="C221" s="6">
        <f>83+107</f>
        <v>190</v>
      </c>
      <c r="D221" s="6">
        <f>69+83</f>
        <v>152</v>
      </c>
      <c r="E221" s="6">
        <f>63+71</f>
        <v>134</v>
      </c>
      <c r="F221" s="28">
        <v>123</v>
      </c>
      <c r="G221" s="6">
        <v>91</v>
      </c>
      <c r="H221" s="6">
        <v>29</v>
      </c>
      <c r="I221" s="9">
        <v>0</v>
      </c>
      <c r="J221" s="9">
        <f>38+60</f>
        <v>98</v>
      </c>
      <c r="K221" s="21">
        <f>(B221-J221-(SUM(C233:I233)))*100/B221</f>
        <v>0</v>
      </c>
    </row>
    <row r="222" spans="1:11" ht="19.5" customHeight="1" x14ac:dyDescent="0.35">
      <c r="A222" s="5">
        <v>2554</v>
      </c>
      <c r="B222" s="5">
        <f>33+46+135</f>
        <v>214</v>
      </c>
      <c r="C222" s="6"/>
      <c r="D222" s="6">
        <f>66+108</f>
        <v>174</v>
      </c>
      <c r="E222" s="6">
        <f>56+84</f>
        <v>140</v>
      </c>
      <c r="F222" s="6">
        <v>119</v>
      </c>
      <c r="G222" s="28">
        <v>114</v>
      </c>
      <c r="H222" s="6">
        <v>75</v>
      </c>
      <c r="I222" s="9">
        <v>5</v>
      </c>
      <c r="J222" s="9">
        <f>31+64</f>
        <v>95</v>
      </c>
      <c r="K222" s="21">
        <f t="shared" ref="K222:K227" si="38">(B222-J222-(SUM(C234:I234)))*100/B222</f>
        <v>2.3364485981308412</v>
      </c>
    </row>
    <row r="223" spans="1:11" ht="19.5" customHeight="1" x14ac:dyDescent="0.35">
      <c r="A223" s="5">
        <v>2555</v>
      </c>
      <c r="B223" s="5">
        <f>29+40+92</f>
        <v>161</v>
      </c>
      <c r="C223" s="6"/>
      <c r="D223" s="6"/>
      <c r="E223" s="6">
        <f>57+77</f>
        <v>134</v>
      </c>
      <c r="F223" s="6">
        <f>51+57</f>
        <v>108</v>
      </c>
      <c r="G223" s="6">
        <v>94</v>
      </c>
      <c r="H223" s="28">
        <v>93</v>
      </c>
      <c r="I223" s="9">
        <v>43</v>
      </c>
      <c r="J223" s="9">
        <f>22+45</f>
        <v>67</v>
      </c>
      <c r="K223" s="21">
        <f t="shared" si="38"/>
        <v>16.770186335403725</v>
      </c>
    </row>
    <row r="224" spans="1:11" ht="19.5" customHeight="1" x14ac:dyDescent="0.35">
      <c r="A224" s="5">
        <v>2556</v>
      </c>
      <c r="B224" s="5">
        <f>35+31+94</f>
        <v>160</v>
      </c>
      <c r="C224" s="6"/>
      <c r="D224" s="6"/>
      <c r="E224" s="6"/>
      <c r="F224" s="6">
        <f>55+78</f>
        <v>133</v>
      </c>
      <c r="G224" s="6">
        <f>41+60</f>
        <v>101</v>
      </c>
      <c r="H224" s="6">
        <v>92</v>
      </c>
      <c r="I224" s="29">
        <f>B224-J224</f>
        <v>92</v>
      </c>
      <c r="J224" s="9">
        <f>28+40</f>
        <v>68</v>
      </c>
      <c r="K224" s="21">
        <f t="shared" si="38"/>
        <v>42.5</v>
      </c>
    </row>
    <row r="225" spans="1:11" ht="19.5" customHeight="1" x14ac:dyDescent="0.35">
      <c r="A225" s="5">
        <v>2557</v>
      </c>
      <c r="B225" s="5">
        <f>36+24+80</f>
        <v>140</v>
      </c>
      <c r="C225" s="6"/>
      <c r="D225" s="6"/>
      <c r="E225" s="6"/>
      <c r="F225" s="6"/>
      <c r="G225" s="6">
        <f>41+70</f>
        <v>111</v>
      </c>
      <c r="H225" s="6">
        <v>78</v>
      </c>
      <c r="I225" s="29">
        <f t="shared" ref="I225:I227" si="39">B225-J225</f>
        <v>78</v>
      </c>
      <c r="J225" s="9">
        <f>29+33</f>
        <v>62</v>
      </c>
      <c r="K225" s="21">
        <f t="shared" si="38"/>
        <v>55.714285714285715</v>
      </c>
    </row>
    <row r="226" spans="1:11" ht="19.5" customHeight="1" x14ac:dyDescent="0.35">
      <c r="A226" s="5">
        <v>2558</v>
      </c>
      <c r="B226" s="5">
        <f>32+32+28</f>
        <v>92</v>
      </c>
      <c r="C226" s="6"/>
      <c r="D226" s="6"/>
      <c r="E226" s="6"/>
      <c r="F226" s="6"/>
      <c r="G226" s="6"/>
      <c r="H226" s="6">
        <f>54+23</f>
        <v>77</v>
      </c>
      <c r="I226" s="29">
        <f t="shared" si="39"/>
        <v>76</v>
      </c>
      <c r="J226" s="9">
        <f>12+4</f>
        <v>16</v>
      </c>
      <c r="K226" s="21">
        <f t="shared" si="38"/>
        <v>82.608695652173907</v>
      </c>
    </row>
    <row r="227" spans="1:11" ht="19.5" customHeight="1" x14ac:dyDescent="0.35">
      <c r="A227" s="5">
        <v>2559</v>
      </c>
      <c r="B227" s="5">
        <f>24+43</f>
        <v>67</v>
      </c>
      <c r="C227" s="6"/>
      <c r="D227" s="6"/>
      <c r="E227" s="6"/>
      <c r="F227" s="6"/>
      <c r="G227" s="6"/>
      <c r="H227" s="6"/>
      <c r="I227" s="29">
        <f t="shared" si="39"/>
        <v>66</v>
      </c>
      <c r="J227" s="9">
        <f>0+1</f>
        <v>1</v>
      </c>
      <c r="K227" s="21">
        <f t="shared" si="38"/>
        <v>98.507462686567166</v>
      </c>
    </row>
    <row r="228" spans="1:11" ht="19.5" customHeight="1" x14ac:dyDescent="0.35">
      <c r="A228" s="7" t="s">
        <v>0</v>
      </c>
      <c r="B228" s="16">
        <f>SUM(B221:B227)</f>
        <v>1060</v>
      </c>
      <c r="C228" s="7">
        <f t="shared" ref="C228:J228" si="40">SUM(C221:C227)</f>
        <v>190</v>
      </c>
      <c r="D228" s="7">
        <f t="shared" si="40"/>
        <v>326</v>
      </c>
      <c r="E228" s="7">
        <f t="shared" si="40"/>
        <v>408</v>
      </c>
      <c r="F228" s="7">
        <f t="shared" si="40"/>
        <v>483</v>
      </c>
      <c r="G228" s="7">
        <f t="shared" si="40"/>
        <v>511</v>
      </c>
      <c r="H228" s="7">
        <f t="shared" si="40"/>
        <v>444</v>
      </c>
      <c r="I228" s="7">
        <f t="shared" si="40"/>
        <v>360</v>
      </c>
      <c r="J228" s="7">
        <f t="shared" si="40"/>
        <v>407</v>
      </c>
      <c r="K228" s="32"/>
    </row>
    <row r="229" spans="1:11" s="4" customFormat="1" ht="12.75" customHeight="1" x14ac:dyDescent="0.4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</row>
    <row r="230" spans="1:11" ht="23.25" customHeight="1" x14ac:dyDescent="0.35">
      <c r="A230" s="8" t="s">
        <v>19</v>
      </c>
      <c r="B230" s="3"/>
      <c r="C230" s="3"/>
      <c r="D230" s="3"/>
      <c r="E230" s="3"/>
      <c r="F230" s="3"/>
      <c r="G230" s="3"/>
      <c r="H230" s="3"/>
      <c r="I230" s="3"/>
      <c r="J230" s="14"/>
      <c r="K230" s="14"/>
    </row>
    <row r="231" spans="1:11" ht="24" customHeight="1" x14ac:dyDescent="0.35">
      <c r="A231" s="60" t="s">
        <v>15</v>
      </c>
      <c r="B231" s="60" t="s">
        <v>1</v>
      </c>
      <c r="C231" s="62" t="s">
        <v>20</v>
      </c>
      <c r="D231" s="63"/>
      <c r="E231" s="63"/>
      <c r="F231" s="63"/>
      <c r="G231" s="63"/>
      <c r="H231" s="63"/>
      <c r="I231" s="64"/>
      <c r="J231" s="56" t="s">
        <v>21</v>
      </c>
      <c r="K231" s="58" t="s">
        <v>23</v>
      </c>
    </row>
    <row r="232" spans="1:11" ht="41.1" customHeight="1" x14ac:dyDescent="0.35">
      <c r="A232" s="61"/>
      <c r="B232" s="60"/>
      <c r="C232" s="17">
        <v>2553</v>
      </c>
      <c r="D232" s="17">
        <v>2554</v>
      </c>
      <c r="E232" s="18">
        <v>2555</v>
      </c>
      <c r="F232" s="18">
        <v>2556</v>
      </c>
      <c r="G232" s="18">
        <v>2557</v>
      </c>
      <c r="H232" s="18">
        <v>2558</v>
      </c>
      <c r="I232" s="18">
        <v>2559</v>
      </c>
      <c r="J232" s="57"/>
      <c r="K232" s="59"/>
    </row>
    <row r="233" spans="1:11" ht="19.5" customHeight="1" x14ac:dyDescent="0.35">
      <c r="A233" s="5">
        <v>2553</v>
      </c>
      <c r="B233" s="5">
        <f>40+40+15+131</f>
        <v>226</v>
      </c>
      <c r="C233" s="6"/>
      <c r="D233" s="6"/>
      <c r="E233" s="28">
        <v>5</v>
      </c>
      <c r="F233" s="28">
        <f>23+9</f>
        <v>32</v>
      </c>
      <c r="G233" s="6">
        <f>33+29</f>
        <v>62</v>
      </c>
      <c r="H233" s="6">
        <f>1+27</f>
        <v>28</v>
      </c>
      <c r="I233" s="9">
        <v>1</v>
      </c>
      <c r="J233" s="9">
        <f>23+14</f>
        <v>37</v>
      </c>
      <c r="K233" s="21">
        <f>J233*100/B233</f>
        <v>16.371681415929203</v>
      </c>
    </row>
    <row r="234" spans="1:11" ht="19.5" customHeight="1" x14ac:dyDescent="0.35">
      <c r="A234" s="5">
        <v>2554</v>
      </c>
      <c r="B234" s="5">
        <f>33+46+135</f>
        <v>214</v>
      </c>
      <c r="C234" s="6"/>
      <c r="D234" s="6"/>
      <c r="E234" s="6"/>
      <c r="F234" s="28">
        <v>5</v>
      </c>
      <c r="G234" s="28">
        <f>36+3</f>
        <v>39</v>
      </c>
      <c r="H234" s="6">
        <f>5+32</f>
        <v>37</v>
      </c>
      <c r="I234" s="9">
        <f>6+27</f>
        <v>33</v>
      </c>
      <c r="J234" s="9">
        <f>36+8</f>
        <v>44</v>
      </c>
      <c r="K234" s="21">
        <f t="shared" ref="K234:K239" si="41">J234*100/B234</f>
        <v>20.560747663551403</v>
      </c>
    </row>
    <row r="235" spans="1:11" ht="19.5" customHeight="1" x14ac:dyDescent="0.35">
      <c r="A235" s="5">
        <v>2555</v>
      </c>
      <c r="B235" s="5">
        <f>29+40+92</f>
        <v>161</v>
      </c>
      <c r="C235" s="6"/>
      <c r="D235" s="6"/>
      <c r="E235" s="6"/>
      <c r="F235" s="6"/>
      <c r="G235" s="28">
        <v>1</v>
      </c>
      <c r="H235" s="28">
        <f>10+6</f>
        <v>16</v>
      </c>
      <c r="I235" s="9">
        <f>33+17</f>
        <v>50</v>
      </c>
      <c r="J235" s="9">
        <f>10+7</f>
        <v>17</v>
      </c>
      <c r="K235" s="21">
        <f t="shared" si="41"/>
        <v>10.559006211180124</v>
      </c>
    </row>
    <row r="236" spans="1:11" ht="19.5" customHeight="1" x14ac:dyDescent="0.35">
      <c r="A236" s="5">
        <v>2556</v>
      </c>
      <c r="B236" s="5">
        <f>35+31+94</f>
        <v>160</v>
      </c>
      <c r="C236" s="6"/>
      <c r="D236" s="6"/>
      <c r="E236" s="6"/>
      <c r="F236" s="6"/>
      <c r="G236" s="6"/>
      <c r="H236" s="6"/>
      <c r="I236" s="29">
        <f>22+2</f>
        <v>24</v>
      </c>
      <c r="J236" s="9">
        <f>22+2</f>
        <v>24</v>
      </c>
      <c r="K236" s="21">
        <f t="shared" si="41"/>
        <v>15</v>
      </c>
    </row>
    <row r="237" spans="1:11" ht="19.5" customHeight="1" x14ac:dyDescent="0.35">
      <c r="A237" s="5">
        <v>2557</v>
      </c>
      <c r="B237" s="5">
        <f>36+24+80</f>
        <v>140</v>
      </c>
      <c r="C237" s="6"/>
      <c r="D237" s="6"/>
      <c r="E237" s="6"/>
      <c r="F237" s="6"/>
      <c r="G237" s="6"/>
      <c r="H237" s="6"/>
      <c r="I237" s="9"/>
      <c r="J237" s="9"/>
      <c r="K237" s="21">
        <f t="shared" si="41"/>
        <v>0</v>
      </c>
    </row>
    <row r="238" spans="1:11" ht="19.5" customHeight="1" x14ac:dyDescent="0.35">
      <c r="A238" s="5">
        <v>2558</v>
      </c>
      <c r="B238" s="5">
        <f>32+32+28</f>
        <v>92</v>
      </c>
      <c r="C238" s="6"/>
      <c r="D238" s="6"/>
      <c r="E238" s="6"/>
      <c r="F238" s="6"/>
      <c r="G238" s="6"/>
      <c r="H238" s="6"/>
      <c r="I238" s="9"/>
      <c r="J238" s="9"/>
      <c r="K238" s="21">
        <f t="shared" si="41"/>
        <v>0</v>
      </c>
    </row>
    <row r="239" spans="1:11" ht="19.5" customHeight="1" x14ac:dyDescent="0.35">
      <c r="A239" s="5">
        <v>2559</v>
      </c>
      <c r="B239" s="5">
        <f>24+43</f>
        <v>67</v>
      </c>
      <c r="C239" s="6"/>
      <c r="D239" s="6"/>
      <c r="E239" s="6"/>
      <c r="F239" s="6"/>
      <c r="G239" s="6"/>
      <c r="H239" s="6"/>
      <c r="I239" s="9"/>
      <c r="J239" s="9"/>
      <c r="K239" s="21">
        <f t="shared" si="41"/>
        <v>0</v>
      </c>
    </row>
    <row r="240" spans="1:11" ht="19.5" customHeight="1" x14ac:dyDescent="0.35">
      <c r="A240" s="19" t="s">
        <v>0</v>
      </c>
      <c r="B240" s="20">
        <f>SUM(B233:B239)</f>
        <v>1060</v>
      </c>
      <c r="C240" s="19"/>
      <c r="D240" s="19"/>
      <c r="E240" s="19">
        <f>SUM(E233:E239)</f>
        <v>5</v>
      </c>
      <c r="F240" s="19">
        <f>SUM(F233:F239)</f>
        <v>37</v>
      </c>
      <c r="G240" s="19">
        <f t="shared" ref="G240:J240" si="42">SUM(G233:G239)</f>
        <v>102</v>
      </c>
      <c r="H240" s="19">
        <f t="shared" si="42"/>
        <v>81</v>
      </c>
      <c r="I240" s="19">
        <f t="shared" si="42"/>
        <v>108</v>
      </c>
      <c r="J240" s="19">
        <f t="shared" si="42"/>
        <v>122</v>
      </c>
      <c r="K240" s="32"/>
    </row>
    <row r="241" spans="1:11" s="4" customFormat="1" ht="12.75" customHeight="1" x14ac:dyDescent="0.4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</row>
    <row r="242" spans="1:11" s="4" customFormat="1" ht="12.75" customHeight="1" x14ac:dyDescent="0.4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</row>
    <row r="243" spans="1:11" s="4" customFormat="1" ht="12.75" customHeight="1" x14ac:dyDescent="0.4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</row>
    <row r="244" spans="1:11" ht="23.25" x14ac:dyDescent="0.35">
      <c r="A244" s="47" t="s">
        <v>11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1:11" ht="23.25" customHeight="1" x14ac:dyDescent="0.35">
      <c r="A245" s="8" t="s">
        <v>18</v>
      </c>
      <c r="B245" s="3"/>
      <c r="C245" s="3"/>
      <c r="D245" s="3"/>
      <c r="E245" s="3"/>
      <c r="F245" s="3"/>
      <c r="G245" s="3"/>
      <c r="H245" s="3"/>
      <c r="I245" s="3"/>
      <c r="J245" s="10"/>
      <c r="K245" s="10"/>
    </row>
    <row r="246" spans="1:11" ht="24" customHeight="1" x14ac:dyDescent="0.35">
      <c r="A246" s="45" t="s">
        <v>15</v>
      </c>
      <c r="B246" s="45" t="s">
        <v>1</v>
      </c>
      <c r="C246" s="49" t="s">
        <v>17</v>
      </c>
      <c r="D246" s="50"/>
      <c r="E246" s="50"/>
      <c r="F246" s="50"/>
      <c r="G246" s="50"/>
      <c r="H246" s="50"/>
      <c r="I246" s="51"/>
      <c r="J246" s="52" t="s">
        <v>16</v>
      </c>
      <c r="K246" s="54" t="s">
        <v>25</v>
      </c>
    </row>
    <row r="247" spans="1:11" ht="41.1" customHeight="1" x14ac:dyDescent="0.35">
      <c r="A247" s="46"/>
      <c r="B247" s="45"/>
      <c r="C247" s="15">
        <v>2553</v>
      </c>
      <c r="D247" s="15">
        <v>2554</v>
      </c>
      <c r="E247" s="13">
        <v>2555</v>
      </c>
      <c r="F247" s="13">
        <v>2556</v>
      </c>
      <c r="G247" s="13">
        <v>2557</v>
      </c>
      <c r="H247" s="13">
        <v>2558</v>
      </c>
      <c r="I247" s="13">
        <v>2559</v>
      </c>
      <c r="J247" s="53"/>
      <c r="K247" s="55"/>
    </row>
    <row r="248" spans="1:11" ht="19.5" customHeight="1" x14ac:dyDescent="0.35">
      <c r="A248" s="5">
        <v>2553</v>
      </c>
      <c r="B248" s="5">
        <f>32+40+81</f>
        <v>153</v>
      </c>
      <c r="C248" s="6">
        <f>63+64</f>
        <v>127</v>
      </c>
      <c r="D248" s="6">
        <f>52+53</f>
        <v>105</v>
      </c>
      <c r="E248" s="6">
        <f>53+51</f>
        <v>104</v>
      </c>
      <c r="F248" s="28">
        <v>102</v>
      </c>
      <c r="G248" s="6">
        <v>71</v>
      </c>
      <c r="H248" s="6">
        <v>40</v>
      </c>
      <c r="I248" s="9">
        <v>27</v>
      </c>
      <c r="J248" s="9">
        <f>19+29</f>
        <v>48</v>
      </c>
      <c r="K248" s="21">
        <f>F248/B248*100</f>
        <v>66.666666666666657</v>
      </c>
    </row>
    <row r="249" spans="1:11" ht="19.5" customHeight="1" x14ac:dyDescent="0.35">
      <c r="A249" s="5">
        <v>2554</v>
      </c>
      <c r="B249" s="5">
        <f>24+31+93</f>
        <v>148</v>
      </c>
      <c r="C249" s="6"/>
      <c r="D249" s="6">
        <f>46+76</f>
        <v>122</v>
      </c>
      <c r="E249" s="6">
        <f>47+55</f>
        <v>102</v>
      </c>
      <c r="F249" s="6">
        <f>46+48</f>
        <v>94</v>
      </c>
      <c r="G249" s="28">
        <f>B249-J249</f>
        <v>98</v>
      </c>
      <c r="H249" s="6">
        <f>1+4</f>
        <v>5</v>
      </c>
      <c r="I249" s="9">
        <v>0</v>
      </c>
      <c r="J249" s="9">
        <f>10+40</f>
        <v>50</v>
      </c>
      <c r="K249" s="21">
        <f>G249/B249*100</f>
        <v>66.21621621621621</v>
      </c>
    </row>
    <row r="250" spans="1:11" ht="19.5" customHeight="1" x14ac:dyDescent="0.35">
      <c r="A250" s="5">
        <v>2555</v>
      </c>
      <c r="B250" s="5">
        <f>30+26+36</f>
        <v>92</v>
      </c>
      <c r="C250" s="6"/>
      <c r="D250" s="6"/>
      <c r="E250" s="6">
        <f>50+36</f>
        <v>86</v>
      </c>
      <c r="F250" s="6">
        <f>43+23</f>
        <v>66</v>
      </c>
      <c r="G250" s="6">
        <f>42+22</f>
        <v>64</v>
      </c>
      <c r="H250" s="28">
        <f>B250-J250</f>
        <v>62</v>
      </c>
      <c r="I250" s="9">
        <f>4+2</f>
        <v>6</v>
      </c>
      <c r="J250" s="9">
        <f>14+16</f>
        <v>30</v>
      </c>
      <c r="K250" s="21">
        <f>H250/B250*100</f>
        <v>67.391304347826093</v>
      </c>
    </row>
    <row r="251" spans="1:11" ht="19.5" customHeight="1" x14ac:dyDescent="0.35">
      <c r="A251" s="5">
        <v>2556</v>
      </c>
      <c r="B251" s="5">
        <f>46+36+89</f>
        <v>171</v>
      </c>
      <c r="C251" s="6"/>
      <c r="D251" s="6"/>
      <c r="E251" s="6"/>
      <c r="F251" s="6">
        <f>64+89</f>
        <v>153</v>
      </c>
      <c r="G251" s="6">
        <v>113</v>
      </c>
      <c r="H251" s="6">
        <v>113</v>
      </c>
      <c r="I251" s="29">
        <f>B251-J251</f>
        <v>113</v>
      </c>
      <c r="J251" s="9">
        <f>22+36</f>
        <v>58</v>
      </c>
      <c r="K251" s="21">
        <f>I251/B251*100</f>
        <v>66.081871345029242</v>
      </c>
    </row>
    <row r="252" spans="1:11" ht="19.5" customHeight="1" x14ac:dyDescent="0.35">
      <c r="A252" s="5">
        <v>2557</v>
      </c>
      <c r="B252" s="5">
        <f>43+39+108</f>
        <v>190</v>
      </c>
      <c r="C252" s="6"/>
      <c r="D252" s="6"/>
      <c r="E252" s="6"/>
      <c r="F252" s="6"/>
      <c r="G252" s="6">
        <f>67+96</f>
        <v>163</v>
      </c>
      <c r="H252" s="6">
        <f>63+74</f>
        <v>137</v>
      </c>
      <c r="I252" s="29">
        <f t="shared" ref="I252:I254" si="43">B252-J252</f>
        <v>137</v>
      </c>
      <c r="J252" s="9">
        <f>18+35</f>
        <v>53</v>
      </c>
      <c r="K252" s="21">
        <f t="shared" ref="K252:K254" si="44">I252/B252*100</f>
        <v>72.10526315789474</v>
      </c>
    </row>
    <row r="253" spans="1:11" ht="19.5" customHeight="1" x14ac:dyDescent="0.35">
      <c r="A253" s="5">
        <v>2558</v>
      </c>
      <c r="B253" s="5">
        <f>39+45+49+28</f>
        <v>161</v>
      </c>
      <c r="C253" s="6"/>
      <c r="D253" s="6"/>
      <c r="E253" s="6"/>
      <c r="F253" s="6"/>
      <c r="G253" s="6"/>
      <c r="H253" s="6">
        <f>122+20</f>
        <v>142</v>
      </c>
      <c r="I253" s="29">
        <f t="shared" si="43"/>
        <v>135</v>
      </c>
      <c r="J253" s="9">
        <f>19+7</f>
        <v>26</v>
      </c>
      <c r="K253" s="21">
        <f t="shared" si="44"/>
        <v>83.850931677018636</v>
      </c>
    </row>
    <row r="254" spans="1:11" ht="19.5" customHeight="1" x14ac:dyDescent="0.35">
      <c r="A254" s="5">
        <v>2559</v>
      </c>
      <c r="B254" s="5">
        <f>44+40+63</f>
        <v>147</v>
      </c>
      <c r="C254" s="6"/>
      <c r="D254" s="6"/>
      <c r="E254" s="6"/>
      <c r="F254" s="6"/>
      <c r="G254" s="6"/>
      <c r="H254" s="6"/>
      <c r="I254" s="29">
        <f t="shared" si="43"/>
        <v>141</v>
      </c>
      <c r="J254" s="9">
        <f>4+2</f>
        <v>6</v>
      </c>
      <c r="K254" s="21">
        <f t="shared" si="44"/>
        <v>95.918367346938766</v>
      </c>
    </row>
    <row r="255" spans="1:11" ht="19.5" customHeight="1" x14ac:dyDescent="0.35">
      <c r="A255" s="7" t="s">
        <v>0</v>
      </c>
      <c r="B255" s="16">
        <f>SUM(B248:B254)</f>
        <v>1062</v>
      </c>
      <c r="C255" s="7">
        <f t="shared" ref="C255:J255" si="45">SUM(C248:C254)</f>
        <v>127</v>
      </c>
      <c r="D255" s="7">
        <f t="shared" si="45"/>
        <v>227</v>
      </c>
      <c r="E255" s="7">
        <f t="shared" si="45"/>
        <v>292</v>
      </c>
      <c r="F255" s="7">
        <f t="shared" si="45"/>
        <v>415</v>
      </c>
      <c r="G255" s="7">
        <f t="shared" si="45"/>
        <v>509</v>
      </c>
      <c r="H255" s="7">
        <f t="shared" si="45"/>
        <v>499</v>
      </c>
      <c r="I255" s="7">
        <f t="shared" si="45"/>
        <v>559</v>
      </c>
      <c r="J255" s="7">
        <f t="shared" si="45"/>
        <v>271</v>
      </c>
      <c r="K255" s="32"/>
    </row>
    <row r="256" spans="1:11" s="4" customFormat="1" ht="12.75" customHeight="1" x14ac:dyDescent="0.4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4"/>
    </row>
    <row r="257" spans="1:11" ht="23.25" customHeight="1" x14ac:dyDescent="0.35">
      <c r="A257" s="8" t="s">
        <v>19</v>
      </c>
      <c r="B257" s="3"/>
      <c r="C257" s="3"/>
      <c r="D257" s="3"/>
      <c r="E257" s="3"/>
      <c r="F257" s="3"/>
      <c r="G257" s="3"/>
      <c r="H257" s="3"/>
      <c r="I257" s="3"/>
      <c r="J257" s="14"/>
      <c r="K257" s="14"/>
    </row>
    <row r="258" spans="1:11" ht="24" customHeight="1" x14ac:dyDescent="0.35">
      <c r="A258" s="60" t="s">
        <v>15</v>
      </c>
      <c r="B258" s="60" t="s">
        <v>1</v>
      </c>
      <c r="C258" s="62" t="s">
        <v>20</v>
      </c>
      <c r="D258" s="63"/>
      <c r="E258" s="63"/>
      <c r="F258" s="63"/>
      <c r="G258" s="63"/>
      <c r="H258" s="63"/>
      <c r="I258" s="64"/>
      <c r="J258" s="56" t="s">
        <v>21</v>
      </c>
      <c r="K258" s="58" t="s">
        <v>23</v>
      </c>
    </row>
    <row r="259" spans="1:11" ht="41.1" customHeight="1" x14ac:dyDescent="0.35">
      <c r="A259" s="61"/>
      <c r="B259" s="60"/>
      <c r="C259" s="17">
        <v>2553</v>
      </c>
      <c r="D259" s="17">
        <v>2554</v>
      </c>
      <c r="E259" s="18">
        <v>2555</v>
      </c>
      <c r="F259" s="18">
        <v>2556</v>
      </c>
      <c r="G259" s="18">
        <v>2557</v>
      </c>
      <c r="H259" s="18">
        <v>2558</v>
      </c>
      <c r="I259" s="18">
        <v>2559</v>
      </c>
      <c r="J259" s="57"/>
      <c r="K259" s="59"/>
    </row>
    <row r="260" spans="1:11" ht="19.5" customHeight="1" x14ac:dyDescent="0.35">
      <c r="A260" s="5">
        <v>2553</v>
      </c>
      <c r="B260" s="5">
        <f>32+40+81</f>
        <v>153</v>
      </c>
      <c r="C260" s="6"/>
      <c r="D260" s="6"/>
      <c r="E260" s="28">
        <v>2</v>
      </c>
      <c r="F260" s="28">
        <f>41+15</f>
        <v>56</v>
      </c>
      <c r="G260" s="6">
        <f>10+21</f>
        <v>31</v>
      </c>
      <c r="H260" s="6">
        <f>1+12</f>
        <v>13</v>
      </c>
      <c r="I260" s="9">
        <f>1+1</f>
        <v>2</v>
      </c>
      <c r="J260" s="9">
        <f>41+17</f>
        <v>58</v>
      </c>
      <c r="K260" s="21">
        <f>J260*100/B260</f>
        <v>37.908496732026144</v>
      </c>
    </row>
    <row r="261" spans="1:11" ht="19.5" customHeight="1" x14ac:dyDescent="0.35">
      <c r="A261" s="5">
        <v>2554</v>
      </c>
      <c r="B261" s="5">
        <f>24+31+93</f>
        <v>148</v>
      </c>
      <c r="C261" s="6"/>
      <c r="D261" s="6"/>
      <c r="E261" s="6"/>
      <c r="F261" s="6"/>
      <c r="G261" s="28">
        <f>44+16</f>
        <v>60</v>
      </c>
      <c r="H261" s="6">
        <f>0+24</f>
        <v>24</v>
      </c>
      <c r="I261" s="9">
        <f>1+13</f>
        <v>14</v>
      </c>
      <c r="J261" s="9">
        <f>44+16</f>
        <v>60</v>
      </c>
      <c r="K261" s="21">
        <f t="shared" ref="K261:K266" si="46">J261*100/B261</f>
        <v>40.54054054054054</v>
      </c>
    </row>
    <row r="262" spans="1:11" ht="19.5" customHeight="1" x14ac:dyDescent="0.35">
      <c r="A262" s="5">
        <v>2555</v>
      </c>
      <c r="B262" s="5">
        <f>30+26+36</f>
        <v>92</v>
      </c>
      <c r="C262" s="6"/>
      <c r="D262" s="6"/>
      <c r="E262" s="6"/>
      <c r="F262" s="6"/>
      <c r="G262" s="28">
        <v>1</v>
      </c>
      <c r="H262" s="28">
        <v>14</v>
      </c>
      <c r="I262" s="9">
        <f>24+18</f>
        <v>42</v>
      </c>
      <c r="J262" s="9">
        <f>14+1</f>
        <v>15</v>
      </c>
      <c r="K262" s="21">
        <f t="shared" si="46"/>
        <v>16.304347826086957</v>
      </c>
    </row>
    <row r="263" spans="1:11" ht="19.5" customHeight="1" x14ac:dyDescent="0.35">
      <c r="A263" s="5">
        <v>2556</v>
      </c>
      <c r="B263" s="5">
        <f>46+36+89</f>
        <v>171</v>
      </c>
      <c r="C263" s="6"/>
      <c r="D263" s="6"/>
      <c r="E263" s="6"/>
      <c r="F263" s="6"/>
      <c r="G263" s="6"/>
      <c r="H263" s="6"/>
      <c r="I263" s="29">
        <v>12</v>
      </c>
      <c r="J263" s="9">
        <v>12</v>
      </c>
      <c r="K263" s="21">
        <f t="shared" si="46"/>
        <v>7.0175438596491224</v>
      </c>
    </row>
    <row r="264" spans="1:11" ht="19.5" customHeight="1" x14ac:dyDescent="0.35">
      <c r="A264" s="5">
        <v>2557</v>
      </c>
      <c r="B264" s="5">
        <f>43+39+108</f>
        <v>190</v>
      </c>
      <c r="C264" s="6"/>
      <c r="D264" s="6"/>
      <c r="E264" s="6"/>
      <c r="F264" s="6"/>
      <c r="G264" s="6"/>
      <c r="H264" s="6"/>
      <c r="I264" s="29">
        <v>1</v>
      </c>
      <c r="J264" s="9">
        <v>1</v>
      </c>
      <c r="K264" s="21">
        <v>0</v>
      </c>
    </row>
    <row r="265" spans="1:11" ht="19.5" customHeight="1" x14ac:dyDescent="0.35">
      <c r="A265" s="5">
        <v>2558</v>
      </c>
      <c r="B265" s="5">
        <f>39+45+49+28</f>
        <v>161</v>
      </c>
      <c r="C265" s="6"/>
      <c r="D265" s="6"/>
      <c r="E265" s="6"/>
      <c r="F265" s="6"/>
      <c r="G265" s="6"/>
      <c r="H265" s="6"/>
      <c r="I265" s="9"/>
      <c r="J265" s="9"/>
      <c r="K265" s="21">
        <f t="shared" si="46"/>
        <v>0</v>
      </c>
    </row>
    <row r="266" spans="1:11" ht="19.5" customHeight="1" x14ac:dyDescent="0.35">
      <c r="A266" s="5">
        <v>2559</v>
      </c>
      <c r="B266" s="5">
        <f>44+40+63</f>
        <v>147</v>
      </c>
      <c r="C266" s="6"/>
      <c r="D266" s="6"/>
      <c r="E266" s="6"/>
      <c r="F266" s="6"/>
      <c r="G266" s="6"/>
      <c r="H266" s="6"/>
      <c r="I266" s="9"/>
      <c r="J266" s="9"/>
      <c r="K266" s="21">
        <f t="shared" si="46"/>
        <v>0</v>
      </c>
    </row>
    <row r="267" spans="1:11" ht="19.5" customHeight="1" x14ac:dyDescent="0.35">
      <c r="A267" s="19" t="s">
        <v>0</v>
      </c>
      <c r="B267" s="20">
        <f>SUM(B260:B266)</f>
        <v>1062</v>
      </c>
      <c r="C267" s="19"/>
      <c r="D267" s="19"/>
      <c r="E267" s="19">
        <f>SUM(E260:E266)</f>
        <v>2</v>
      </c>
      <c r="F267" s="19">
        <f>SUM(F260:F266)</f>
        <v>56</v>
      </c>
      <c r="G267" s="19">
        <f t="shared" ref="G267:J267" si="47">SUM(G260:G266)</f>
        <v>92</v>
      </c>
      <c r="H267" s="19">
        <f t="shared" si="47"/>
        <v>51</v>
      </c>
      <c r="I267" s="19">
        <f t="shared" si="47"/>
        <v>71</v>
      </c>
      <c r="J267" s="19">
        <f t="shared" si="47"/>
        <v>146</v>
      </c>
      <c r="K267" s="32"/>
    </row>
    <row r="268" spans="1:11" s="4" customFormat="1" ht="12.75" customHeight="1" x14ac:dyDescent="0.4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</row>
    <row r="269" spans="1:11" s="4" customFormat="1" ht="12.75" customHeight="1" x14ac:dyDescent="0.4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</row>
    <row r="270" spans="1:11" s="4" customFormat="1" ht="12.75" customHeight="1" x14ac:dyDescent="0.4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</row>
    <row r="271" spans="1:11" ht="23.25" x14ac:dyDescent="0.35">
      <c r="A271" s="47" t="s">
        <v>12</v>
      </c>
      <c r="B271" s="47"/>
      <c r="C271" s="47"/>
      <c r="D271" s="47"/>
      <c r="E271" s="47"/>
      <c r="F271" s="47"/>
      <c r="G271" s="47"/>
      <c r="H271" s="47"/>
      <c r="I271" s="47"/>
      <c r="J271" s="47"/>
      <c r="K271" s="47"/>
    </row>
    <row r="272" spans="1:11" ht="23.25" customHeight="1" x14ac:dyDescent="0.35">
      <c r="A272" s="8" t="s">
        <v>18</v>
      </c>
      <c r="B272" s="3"/>
      <c r="C272" s="3"/>
      <c r="D272" s="3"/>
      <c r="E272" s="3"/>
      <c r="F272" s="3"/>
      <c r="G272" s="3"/>
      <c r="H272" s="3"/>
      <c r="I272" s="3"/>
      <c r="J272" s="10"/>
      <c r="K272" s="10"/>
    </row>
    <row r="273" spans="1:11" ht="24" customHeight="1" x14ac:dyDescent="0.35">
      <c r="A273" s="45" t="s">
        <v>15</v>
      </c>
      <c r="B273" s="45" t="s">
        <v>1</v>
      </c>
      <c r="C273" s="49" t="s">
        <v>17</v>
      </c>
      <c r="D273" s="50"/>
      <c r="E273" s="50"/>
      <c r="F273" s="50"/>
      <c r="G273" s="50"/>
      <c r="H273" s="50"/>
      <c r="I273" s="51"/>
      <c r="J273" s="52" t="s">
        <v>16</v>
      </c>
      <c r="K273" s="54" t="s">
        <v>25</v>
      </c>
    </row>
    <row r="274" spans="1:11" ht="41.1" customHeight="1" x14ac:dyDescent="0.35">
      <c r="A274" s="46"/>
      <c r="B274" s="45"/>
      <c r="C274" s="15">
        <v>2553</v>
      </c>
      <c r="D274" s="15">
        <v>2554</v>
      </c>
      <c r="E274" s="13">
        <v>2555</v>
      </c>
      <c r="F274" s="13">
        <v>2556</v>
      </c>
      <c r="G274" s="13">
        <v>2557</v>
      </c>
      <c r="H274" s="13">
        <v>2558</v>
      </c>
      <c r="I274" s="13">
        <v>2559</v>
      </c>
      <c r="J274" s="53"/>
      <c r="K274" s="55"/>
    </row>
    <row r="275" spans="1:11" ht="19.5" customHeight="1" x14ac:dyDescent="0.35">
      <c r="A275" s="5">
        <v>2553</v>
      </c>
      <c r="B275" s="5"/>
      <c r="C275" s="6"/>
      <c r="D275" s="6"/>
      <c r="E275" s="6"/>
      <c r="F275" s="6"/>
      <c r="G275" s="6"/>
      <c r="H275" s="6"/>
      <c r="I275" s="9"/>
      <c r="J275" s="9"/>
      <c r="K275" s="21"/>
    </row>
    <row r="276" spans="1:11" ht="19.5" customHeight="1" x14ac:dyDescent="0.35">
      <c r="A276" s="5">
        <v>2554</v>
      </c>
      <c r="B276" s="5">
        <v>21</v>
      </c>
      <c r="C276" s="6"/>
      <c r="D276" s="6">
        <v>19</v>
      </c>
      <c r="E276" s="6">
        <v>16</v>
      </c>
      <c r="F276" s="6">
        <v>11</v>
      </c>
      <c r="G276" s="28">
        <v>11</v>
      </c>
      <c r="H276" s="6">
        <v>0</v>
      </c>
      <c r="I276" s="9">
        <v>0</v>
      </c>
      <c r="J276" s="9">
        <v>10</v>
      </c>
      <c r="K276" s="21">
        <v>52.38</v>
      </c>
    </row>
    <row r="277" spans="1:11" ht="19.5" customHeight="1" x14ac:dyDescent="0.35">
      <c r="A277" s="5">
        <v>2555</v>
      </c>
      <c r="B277" s="5"/>
      <c r="C277" s="6"/>
      <c r="D277" s="6"/>
      <c r="E277" s="6"/>
      <c r="F277" s="6"/>
      <c r="G277" s="6"/>
      <c r="H277" s="6"/>
      <c r="I277" s="9"/>
      <c r="J277" s="9"/>
      <c r="K277" s="21"/>
    </row>
    <row r="278" spans="1:11" ht="19.5" customHeight="1" x14ac:dyDescent="0.35">
      <c r="A278" s="5">
        <v>2556</v>
      </c>
      <c r="B278" s="5">
        <v>31</v>
      </c>
      <c r="C278" s="6"/>
      <c r="D278" s="6"/>
      <c r="E278" s="6"/>
      <c r="F278" s="6">
        <v>22</v>
      </c>
      <c r="G278" s="6">
        <v>20</v>
      </c>
      <c r="H278" s="6">
        <v>20</v>
      </c>
      <c r="I278" s="29">
        <v>20</v>
      </c>
      <c r="J278" s="9">
        <v>11</v>
      </c>
      <c r="K278" s="21">
        <v>64.52</v>
      </c>
    </row>
    <row r="279" spans="1:11" ht="19.5" customHeight="1" x14ac:dyDescent="0.35">
      <c r="A279" s="5">
        <v>2557</v>
      </c>
      <c r="B279" s="5"/>
      <c r="C279" s="6"/>
      <c r="D279" s="6"/>
      <c r="E279" s="6"/>
      <c r="F279" s="6"/>
      <c r="G279" s="6"/>
      <c r="H279" s="6"/>
      <c r="I279" s="9"/>
      <c r="J279" s="9"/>
      <c r="K279" s="21"/>
    </row>
    <row r="280" spans="1:11" ht="19.5" customHeight="1" x14ac:dyDescent="0.35">
      <c r="A280" s="5">
        <v>2558</v>
      </c>
      <c r="B280" s="5">
        <v>37</v>
      </c>
      <c r="C280" s="6"/>
      <c r="D280" s="6"/>
      <c r="E280" s="6"/>
      <c r="F280" s="6"/>
      <c r="G280" s="6"/>
      <c r="H280" s="6">
        <v>30</v>
      </c>
      <c r="I280" s="29">
        <v>29</v>
      </c>
      <c r="J280" s="9">
        <v>8</v>
      </c>
      <c r="K280" s="21">
        <f t="shared" ref="K280:K281" si="48">(B280-J280-(SUM(C292:I292)))*100/B280</f>
        <v>78.378378378378372</v>
      </c>
    </row>
    <row r="281" spans="1:11" ht="19.5" customHeight="1" x14ac:dyDescent="0.35">
      <c r="A281" s="5">
        <v>2559</v>
      </c>
      <c r="B281" s="5">
        <v>11</v>
      </c>
      <c r="C281" s="6"/>
      <c r="D281" s="6"/>
      <c r="E281" s="6"/>
      <c r="F281" s="6"/>
      <c r="G281" s="6"/>
      <c r="H281" s="6"/>
      <c r="I281" s="29">
        <v>10</v>
      </c>
      <c r="J281" s="9">
        <v>1</v>
      </c>
      <c r="K281" s="21">
        <f t="shared" si="48"/>
        <v>90.909090909090907</v>
      </c>
    </row>
    <row r="282" spans="1:11" ht="19.5" customHeight="1" x14ac:dyDescent="0.35">
      <c r="A282" s="7" t="s">
        <v>0</v>
      </c>
      <c r="B282" s="7">
        <f>SUM(B275:B281)</f>
        <v>100</v>
      </c>
      <c r="C282" s="7"/>
      <c r="D282" s="7">
        <f t="shared" ref="D282:J282" si="49">SUM(D275:D281)</f>
        <v>19</v>
      </c>
      <c r="E282" s="7">
        <f t="shared" si="49"/>
        <v>16</v>
      </c>
      <c r="F282" s="7">
        <f t="shared" si="49"/>
        <v>33</v>
      </c>
      <c r="G282" s="7">
        <f t="shared" si="49"/>
        <v>31</v>
      </c>
      <c r="H282" s="7">
        <f t="shared" si="49"/>
        <v>50</v>
      </c>
      <c r="I282" s="7">
        <f t="shared" si="49"/>
        <v>59</v>
      </c>
      <c r="J282" s="7">
        <f t="shared" si="49"/>
        <v>30</v>
      </c>
      <c r="K282" s="32"/>
    </row>
    <row r="283" spans="1:11" ht="12.75" customHeight="1" x14ac:dyDescent="0.35"/>
    <row r="284" spans="1:11" ht="23.25" customHeight="1" x14ac:dyDescent="0.35">
      <c r="A284" s="8" t="s">
        <v>19</v>
      </c>
      <c r="B284" s="3"/>
      <c r="C284" s="3"/>
      <c r="D284" s="3"/>
      <c r="E284" s="3"/>
      <c r="F284" s="3"/>
      <c r="G284" s="3"/>
      <c r="H284" s="3"/>
      <c r="I284" s="3"/>
      <c r="J284" s="14"/>
      <c r="K284" s="14"/>
    </row>
    <row r="285" spans="1:11" ht="24" customHeight="1" x14ac:dyDescent="0.35">
      <c r="A285" s="60" t="s">
        <v>15</v>
      </c>
      <c r="B285" s="60" t="s">
        <v>1</v>
      </c>
      <c r="C285" s="62" t="s">
        <v>20</v>
      </c>
      <c r="D285" s="63"/>
      <c r="E285" s="63"/>
      <c r="F285" s="63"/>
      <c r="G285" s="63"/>
      <c r="H285" s="63"/>
      <c r="I285" s="64"/>
      <c r="J285" s="56" t="s">
        <v>21</v>
      </c>
      <c r="K285" s="58" t="s">
        <v>23</v>
      </c>
    </row>
    <row r="286" spans="1:11" ht="41.1" customHeight="1" x14ac:dyDescent="0.35">
      <c r="A286" s="61"/>
      <c r="B286" s="60"/>
      <c r="C286" s="17">
        <v>2553</v>
      </c>
      <c r="D286" s="17">
        <v>2554</v>
      </c>
      <c r="E286" s="18">
        <v>2555</v>
      </c>
      <c r="F286" s="18">
        <v>2556</v>
      </c>
      <c r="G286" s="18">
        <v>2557</v>
      </c>
      <c r="H286" s="18">
        <v>2558</v>
      </c>
      <c r="I286" s="18">
        <v>2559</v>
      </c>
      <c r="J286" s="57"/>
      <c r="K286" s="59"/>
    </row>
    <row r="287" spans="1:11" ht="19.5" customHeight="1" x14ac:dyDescent="0.35">
      <c r="A287" s="5">
        <v>2553</v>
      </c>
      <c r="B287" s="5"/>
      <c r="C287" s="6"/>
      <c r="D287" s="6"/>
      <c r="E287" s="6"/>
      <c r="F287" s="6"/>
      <c r="G287" s="6"/>
      <c r="H287" s="6"/>
      <c r="I287" s="9"/>
      <c r="J287" s="9"/>
      <c r="K287" s="21"/>
    </row>
    <row r="288" spans="1:11" ht="19.5" customHeight="1" x14ac:dyDescent="0.35">
      <c r="A288" s="5">
        <v>2554</v>
      </c>
      <c r="B288" s="5">
        <v>21</v>
      </c>
      <c r="C288" s="6"/>
      <c r="D288" s="6"/>
      <c r="E288" s="6"/>
      <c r="F288" s="6"/>
      <c r="G288" s="28">
        <v>11</v>
      </c>
      <c r="H288" s="6">
        <v>0</v>
      </c>
      <c r="I288" s="9">
        <v>0</v>
      </c>
      <c r="J288" s="9">
        <v>11</v>
      </c>
      <c r="K288" s="21">
        <f t="shared" ref="K288:K293" si="50">J288*100/B288</f>
        <v>52.38095238095238</v>
      </c>
    </row>
    <row r="289" spans="1:11" ht="19.5" customHeight="1" x14ac:dyDescent="0.35">
      <c r="A289" s="5">
        <v>2555</v>
      </c>
      <c r="B289" s="5"/>
      <c r="C289" s="6"/>
      <c r="D289" s="6"/>
      <c r="E289" s="6"/>
      <c r="F289" s="6"/>
      <c r="G289" s="6"/>
      <c r="H289" s="6"/>
      <c r="I289" s="9"/>
      <c r="J289" s="9"/>
      <c r="K289" s="21"/>
    </row>
    <row r="290" spans="1:11" ht="19.5" customHeight="1" x14ac:dyDescent="0.35">
      <c r="A290" s="5">
        <v>2556</v>
      </c>
      <c r="B290" s="5">
        <v>31</v>
      </c>
      <c r="C290" s="6"/>
      <c r="D290" s="6"/>
      <c r="E290" s="6"/>
      <c r="F290" s="6"/>
      <c r="G290" s="6"/>
      <c r="H290" s="6"/>
      <c r="I290" s="29">
        <v>18</v>
      </c>
      <c r="J290" s="9">
        <v>18</v>
      </c>
      <c r="K290" s="21">
        <f t="shared" si="50"/>
        <v>58.064516129032256</v>
      </c>
    </row>
    <row r="291" spans="1:11" ht="19.5" customHeight="1" x14ac:dyDescent="0.35">
      <c r="A291" s="5">
        <v>2557</v>
      </c>
      <c r="B291" s="5"/>
      <c r="C291" s="6"/>
      <c r="D291" s="6"/>
      <c r="E291" s="6"/>
      <c r="F291" s="6"/>
      <c r="G291" s="6"/>
      <c r="H291" s="6"/>
      <c r="I291" s="9"/>
      <c r="J291" s="9"/>
      <c r="K291" s="21"/>
    </row>
    <row r="292" spans="1:11" ht="19.5" customHeight="1" x14ac:dyDescent="0.35">
      <c r="A292" s="5">
        <v>2558</v>
      </c>
      <c r="B292" s="5">
        <v>37</v>
      </c>
      <c r="C292" s="6"/>
      <c r="D292" s="6"/>
      <c r="E292" s="6"/>
      <c r="F292" s="6"/>
      <c r="G292" s="6"/>
      <c r="H292" s="6"/>
      <c r="I292" s="9"/>
      <c r="J292" s="9"/>
      <c r="K292" s="21">
        <f t="shared" si="50"/>
        <v>0</v>
      </c>
    </row>
    <row r="293" spans="1:11" ht="19.5" customHeight="1" x14ac:dyDescent="0.35">
      <c r="A293" s="5">
        <v>2559</v>
      </c>
      <c r="B293" s="5">
        <v>11</v>
      </c>
      <c r="C293" s="6"/>
      <c r="D293" s="6"/>
      <c r="E293" s="6"/>
      <c r="F293" s="6"/>
      <c r="G293" s="6"/>
      <c r="H293" s="6"/>
      <c r="I293" s="9"/>
      <c r="J293" s="9"/>
      <c r="K293" s="21">
        <f t="shared" si="50"/>
        <v>0</v>
      </c>
    </row>
    <row r="294" spans="1:11" ht="19.5" customHeight="1" x14ac:dyDescent="0.35">
      <c r="A294" s="19" t="s">
        <v>0</v>
      </c>
      <c r="B294" s="19">
        <f>SUM(B287:B293)</f>
        <v>100</v>
      </c>
      <c r="C294" s="19"/>
      <c r="D294" s="19"/>
      <c r="E294" s="19"/>
      <c r="F294" s="19"/>
      <c r="G294" s="19">
        <f>SUM(G287:G293)</f>
        <v>11</v>
      </c>
      <c r="H294" s="19">
        <f>SUM(H287:H293)</f>
        <v>0</v>
      </c>
      <c r="I294" s="19">
        <f t="shared" ref="I294:J294" si="51">SUM(I287:I293)</f>
        <v>18</v>
      </c>
      <c r="J294" s="19">
        <f t="shared" si="51"/>
        <v>29</v>
      </c>
      <c r="K294" s="32"/>
    </row>
    <row r="295" spans="1:11" ht="12.75" customHeight="1" x14ac:dyDescent="0.35"/>
    <row r="296" spans="1:11" ht="12.75" customHeight="1" x14ac:dyDescent="0.35"/>
    <row r="297" spans="1:11" ht="12.75" customHeight="1" x14ac:dyDescent="0.35"/>
    <row r="298" spans="1:11" ht="23.25" x14ac:dyDescent="0.35">
      <c r="A298" s="48" t="s">
        <v>13</v>
      </c>
      <c r="B298" s="48"/>
      <c r="C298" s="48"/>
      <c r="D298" s="48"/>
      <c r="E298" s="48"/>
      <c r="F298" s="48"/>
      <c r="G298" s="48"/>
      <c r="H298" s="48"/>
      <c r="I298" s="48"/>
      <c r="J298" s="48"/>
      <c r="K298" s="48"/>
    </row>
    <row r="299" spans="1:11" ht="23.25" customHeight="1" x14ac:dyDescent="0.35">
      <c r="A299" s="8" t="s">
        <v>18</v>
      </c>
      <c r="B299" s="3"/>
      <c r="C299" s="3"/>
      <c r="D299" s="3"/>
      <c r="E299" s="3"/>
      <c r="F299" s="3"/>
      <c r="G299" s="3"/>
      <c r="H299" s="3"/>
      <c r="I299" s="3"/>
      <c r="J299" s="10"/>
      <c r="K299" s="10"/>
    </row>
    <row r="300" spans="1:11" ht="24" customHeight="1" x14ac:dyDescent="0.35">
      <c r="A300" s="45" t="s">
        <v>15</v>
      </c>
      <c r="B300" s="45" t="s">
        <v>1</v>
      </c>
      <c r="C300" s="49" t="s">
        <v>17</v>
      </c>
      <c r="D300" s="50"/>
      <c r="E300" s="50"/>
      <c r="F300" s="50"/>
      <c r="G300" s="50"/>
      <c r="H300" s="50"/>
      <c r="I300" s="51"/>
      <c r="J300" s="52" t="s">
        <v>16</v>
      </c>
      <c r="K300" s="54" t="s">
        <v>25</v>
      </c>
    </row>
    <row r="301" spans="1:11" ht="41.1" customHeight="1" x14ac:dyDescent="0.35">
      <c r="A301" s="46"/>
      <c r="B301" s="45"/>
      <c r="C301" s="15">
        <v>2553</v>
      </c>
      <c r="D301" s="15">
        <v>2554</v>
      </c>
      <c r="E301" s="13">
        <v>2555</v>
      </c>
      <c r="F301" s="13">
        <v>2556</v>
      </c>
      <c r="G301" s="13">
        <v>2557</v>
      </c>
      <c r="H301" s="13">
        <v>2558</v>
      </c>
      <c r="I301" s="13">
        <v>2559</v>
      </c>
      <c r="J301" s="53"/>
      <c r="K301" s="55"/>
    </row>
    <row r="302" spans="1:11" ht="19.5" customHeight="1" x14ac:dyDescent="0.35">
      <c r="A302" s="5">
        <v>2553</v>
      </c>
      <c r="B302" s="5">
        <f>24+31+20</f>
        <v>75</v>
      </c>
      <c r="C302" s="6">
        <f>48+11</f>
        <v>59</v>
      </c>
      <c r="D302" s="6">
        <f>42+3</f>
        <v>45</v>
      </c>
      <c r="E302" s="6">
        <f>42+3</f>
        <v>45</v>
      </c>
      <c r="F302" s="28">
        <f>B302-J302</f>
        <v>75</v>
      </c>
      <c r="G302" s="6">
        <v>2</v>
      </c>
      <c r="H302" s="6">
        <v>2</v>
      </c>
      <c r="I302" s="9">
        <v>1</v>
      </c>
      <c r="J302" s="9"/>
      <c r="K302" s="21">
        <v>54.67</v>
      </c>
    </row>
    <row r="303" spans="1:11" ht="19.5" customHeight="1" x14ac:dyDescent="0.35">
      <c r="A303" s="5">
        <v>2554</v>
      </c>
      <c r="B303" s="5">
        <f>27+30</f>
        <v>57</v>
      </c>
      <c r="C303" s="6"/>
      <c r="D303" s="6">
        <v>45</v>
      </c>
      <c r="E303" s="6">
        <v>46</v>
      </c>
      <c r="F303" s="6">
        <v>42</v>
      </c>
      <c r="G303" s="28">
        <f>B303-J303</f>
        <v>41</v>
      </c>
      <c r="H303" s="6">
        <v>7</v>
      </c>
      <c r="I303" s="9">
        <v>4</v>
      </c>
      <c r="J303" s="9">
        <v>16</v>
      </c>
      <c r="K303" s="21">
        <v>71.930000000000007</v>
      </c>
    </row>
    <row r="304" spans="1:11" ht="19.5" customHeight="1" x14ac:dyDescent="0.35">
      <c r="A304" s="5">
        <v>2555</v>
      </c>
      <c r="B304" s="5">
        <f>22+28</f>
        <v>50</v>
      </c>
      <c r="C304" s="6"/>
      <c r="D304" s="6"/>
      <c r="E304" s="6">
        <v>44</v>
      </c>
      <c r="F304" s="6">
        <f>43+18</f>
        <v>61</v>
      </c>
      <c r="G304" s="6">
        <f>39+14</f>
        <v>53</v>
      </c>
      <c r="H304" s="28">
        <f>B304-J304</f>
        <v>37</v>
      </c>
      <c r="I304" s="9">
        <f>2+12</f>
        <v>14</v>
      </c>
      <c r="J304" s="9">
        <v>13</v>
      </c>
      <c r="K304" s="21">
        <v>74</v>
      </c>
    </row>
    <row r="305" spans="1:11" ht="19.5" customHeight="1" x14ac:dyDescent="0.35">
      <c r="A305" s="5">
        <v>2556</v>
      </c>
      <c r="B305" s="5">
        <f>23+27+30+37+18</f>
        <v>135</v>
      </c>
      <c r="C305" s="6"/>
      <c r="D305" s="6"/>
      <c r="E305" s="6"/>
      <c r="F305" s="6">
        <v>93</v>
      </c>
      <c r="G305" s="6">
        <v>78</v>
      </c>
      <c r="H305" s="6">
        <v>68</v>
      </c>
      <c r="I305" s="29">
        <f>B305-J305</f>
        <v>79</v>
      </c>
      <c r="J305" s="9">
        <f>51+5</f>
        <v>56</v>
      </c>
      <c r="K305" s="21">
        <f>I305/B305*100</f>
        <v>58.518518518518512</v>
      </c>
    </row>
    <row r="306" spans="1:11" ht="19.5" customHeight="1" x14ac:dyDescent="0.35">
      <c r="A306" s="5">
        <v>2557</v>
      </c>
      <c r="B306" s="5">
        <f>26+37+62</f>
        <v>125</v>
      </c>
      <c r="C306" s="6"/>
      <c r="D306" s="6"/>
      <c r="E306" s="6"/>
      <c r="F306" s="6"/>
      <c r="G306" s="6">
        <v>100</v>
      </c>
      <c r="H306" s="6">
        <v>88</v>
      </c>
      <c r="I306" s="29">
        <f t="shared" ref="I306:I308" si="52">B306-J306</f>
        <v>85</v>
      </c>
      <c r="J306" s="9">
        <v>40</v>
      </c>
      <c r="K306" s="21">
        <f t="shared" ref="K306:K308" si="53">I306/B306*100</f>
        <v>68</v>
      </c>
    </row>
    <row r="307" spans="1:11" ht="19.5" customHeight="1" x14ac:dyDescent="0.35">
      <c r="A307" s="5">
        <v>2558</v>
      </c>
      <c r="B307" s="5">
        <f>28+40+40</f>
        <v>108</v>
      </c>
      <c r="C307" s="6"/>
      <c r="D307" s="6"/>
      <c r="E307" s="6"/>
      <c r="F307" s="6"/>
      <c r="G307" s="6"/>
      <c r="H307" s="6">
        <v>88</v>
      </c>
      <c r="I307" s="29">
        <f t="shared" si="52"/>
        <v>78</v>
      </c>
      <c r="J307" s="9">
        <v>30</v>
      </c>
      <c r="K307" s="21">
        <f t="shared" si="53"/>
        <v>72.222222222222214</v>
      </c>
    </row>
    <row r="308" spans="1:11" ht="19.5" customHeight="1" x14ac:dyDescent="0.35">
      <c r="A308" s="5">
        <v>2559</v>
      </c>
      <c r="B308" s="5">
        <f>23+56+10</f>
        <v>89</v>
      </c>
      <c r="C308" s="6"/>
      <c r="D308" s="6"/>
      <c r="E308" s="6"/>
      <c r="F308" s="6"/>
      <c r="G308" s="6"/>
      <c r="H308" s="6"/>
      <c r="I308" s="29">
        <f t="shared" si="52"/>
        <v>82</v>
      </c>
      <c r="J308" s="9">
        <v>7</v>
      </c>
      <c r="K308" s="21">
        <f t="shared" si="53"/>
        <v>92.134831460674164</v>
      </c>
    </row>
    <row r="309" spans="1:11" ht="19.5" customHeight="1" x14ac:dyDescent="0.35">
      <c r="A309" s="7" t="s">
        <v>0</v>
      </c>
      <c r="B309" s="7">
        <f>SUM(B302:B308)</f>
        <v>639</v>
      </c>
      <c r="C309" s="7">
        <f t="shared" ref="C309:J309" si="54">SUM(C302:C308)</f>
        <v>59</v>
      </c>
      <c r="D309" s="7">
        <f t="shared" si="54"/>
        <v>90</v>
      </c>
      <c r="E309" s="7">
        <f t="shared" si="54"/>
        <v>135</v>
      </c>
      <c r="F309" s="7">
        <f t="shared" si="54"/>
        <v>271</v>
      </c>
      <c r="G309" s="7">
        <f t="shared" si="54"/>
        <v>274</v>
      </c>
      <c r="H309" s="7">
        <f t="shared" si="54"/>
        <v>290</v>
      </c>
      <c r="I309" s="7">
        <f t="shared" si="54"/>
        <v>343</v>
      </c>
      <c r="J309" s="7">
        <f t="shared" si="54"/>
        <v>162</v>
      </c>
      <c r="K309" s="32"/>
    </row>
    <row r="310" spans="1:11" ht="12.75" customHeight="1" x14ac:dyDescent="0.35"/>
    <row r="311" spans="1:11" ht="23.25" customHeight="1" x14ac:dyDescent="0.35">
      <c r="A311" s="8" t="s">
        <v>19</v>
      </c>
      <c r="B311" s="3"/>
      <c r="C311" s="3"/>
      <c r="D311" s="3"/>
      <c r="E311" s="3"/>
      <c r="F311" s="3"/>
      <c r="G311" s="3"/>
      <c r="H311" s="3"/>
      <c r="I311" s="3"/>
      <c r="J311" s="14"/>
      <c r="K311" s="14"/>
    </row>
    <row r="312" spans="1:11" ht="24" customHeight="1" x14ac:dyDescent="0.35">
      <c r="A312" s="60" t="s">
        <v>15</v>
      </c>
      <c r="B312" s="60" t="s">
        <v>1</v>
      </c>
      <c r="C312" s="62" t="s">
        <v>20</v>
      </c>
      <c r="D312" s="63"/>
      <c r="E312" s="63"/>
      <c r="F312" s="63"/>
      <c r="G312" s="63"/>
      <c r="H312" s="63"/>
      <c r="I312" s="64"/>
      <c r="J312" s="56" t="s">
        <v>21</v>
      </c>
      <c r="K312" s="58" t="s">
        <v>23</v>
      </c>
    </row>
    <row r="313" spans="1:11" ht="41.1" customHeight="1" x14ac:dyDescent="0.35">
      <c r="A313" s="61"/>
      <c r="B313" s="60"/>
      <c r="C313" s="17">
        <v>2553</v>
      </c>
      <c r="D313" s="17">
        <v>2554</v>
      </c>
      <c r="E313" s="18">
        <v>2555</v>
      </c>
      <c r="F313" s="18">
        <v>2556</v>
      </c>
      <c r="G313" s="18">
        <v>2557</v>
      </c>
      <c r="H313" s="18">
        <v>2558</v>
      </c>
      <c r="I313" s="18">
        <v>2559</v>
      </c>
      <c r="J313" s="57"/>
      <c r="K313" s="59"/>
    </row>
    <row r="314" spans="1:11" ht="19.5" customHeight="1" x14ac:dyDescent="0.35">
      <c r="A314" s="5">
        <v>2553</v>
      </c>
      <c r="B314" s="5">
        <f>24+31+20</f>
        <v>75</v>
      </c>
      <c r="C314" s="6"/>
      <c r="D314" s="6"/>
      <c r="E314" s="6"/>
      <c r="F314" s="28">
        <v>23</v>
      </c>
      <c r="G314" s="6">
        <f>14+3</f>
        <v>17</v>
      </c>
      <c r="H314" s="6">
        <v>1</v>
      </c>
      <c r="I314" s="9">
        <v>0</v>
      </c>
      <c r="J314" s="9">
        <v>23</v>
      </c>
      <c r="K314" s="21">
        <f>J314*100/B314</f>
        <v>30.666666666666668</v>
      </c>
    </row>
    <row r="315" spans="1:11" ht="19.5" customHeight="1" x14ac:dyDescent="0.35">
      <c r="A315" s="5">
        <v>2554</v>
      </c>
      <c r="B315" s="5">
        <f>27+30</f>
        <v>57</v>
      </c>
      <c r="C315" s="6"/>
      <c r="D315" s="6"/>
      <c r="E315" s="6"/>
      <c r="F315" s="6"/>
      <c r="G315" s="28">
        <v>30</v>
      </c>
      <c r="H315" s="6">
        <v>4</v>
      </c>
      <c r="I315" s="9">
        <v>2</v>
      </c>
      <c r="J315" s="9">
        <v>30</v>
      </c>
      <c r="K315" s="21">
        <f t="shared" ref="K315:K320" si="55">J315*100/B315</f>
        <v>52.631578947368418</v>
      </c>
    </row>
    <row r="316" spans="1:11" ht="19.5" customHeight="1" x14ac:dyDescent="0.35">
      <c r="A316" s="5">
        <v>2555</v>
      </c>
      <c r="B316" s="5">
        <f>22+28</f>
        <v>50</v>
      </c>
      <c r="C316" s="6"/>
      <c r="D316" s="6"/>
      <c r="E316" s="6"/>
      <c r="F316" s="6"/>
      <c r="G316" s="6"/>
      <c r="H316" s="28">
        <v>27</v>
      </c>
      <c r="I316" s="9">
        <v>6</v>
      </c>
      <c r="J316" s="9">
        <v>27</v>
      </c>
      <c r="K316" s="21">
        <f t="shared" si="55"/>
        <v>54</v>
      </c>
    </row>
    <row r="317" spans="1:11" ht="19.5" customHeight="1" x14ac:dyDescent="0.35">
      <c r="A317" s="5">
        <v>2556</v>
      </c>
      <c r="B317" s="5">
        <f>23+27+30+37+18</f>
        <v>135</v>
      </c>
      <c r="C317" s="6"/>
      <c r="D317" s="6"/>
      <c r="E317" s="6"/>
      <c r="F317" s="6"/>
      <c r="G317" s="6"/>
      <c r="H317" s="6"/>
      <c r="I317" s="29">
        <v>43</v>
      </c>
      <c r="J317" s="9">
        <v>43</v>
      </c>
      <c r="K317" s="21">
        <f t="shared" si="55"/>
        <v>31.851851851851851</v>
      </c>
    </row>
    <row r="318" spans="1:11" ht="19.5" customHeight="1" x14ac:dyDescent="0.35">
      <c r="A318" s="5">
        <v>2557</v>
      </c>
      <c r="B318" s="5">
        <f>26+37+62</f>
        <v>125</v>
      </c>
      <c r="C318" s="6"/>
      <c r="D318" s="6"/>
      <c r="E318" s="6"/>
      <c r="F318" s="6"/>
      <c r="G318" s="6"/>
      <c r="H318" s="6"/>
      <c r="I318" s="9"/>
      <c r="J318" s="9"/>
      <c r="K318" s="21">
        <f t="shared" si="55"/>
        <v>0</v>
      </c>
    </row>
    <row r="319" spans="1:11" ht="19.5" customHeight="1" x14ac:dyDescent="0.35">
      <c r="A319" s="5">
        <v>2558</v>
      </c>
      <c r="B319" s="5">
        <f>28+40+40</f>
        <v>108</v>
      </c>
      <c r="C319" s="6"/>
      <c r="D319" s="6"/>
      <c r="E319" s="6"/>
      <c r="F319" s="6"/>
      <c r="G319" s="6"/>
      <c r="H319" s="6"/>
      <c r="I319" s="9"/>
      <c r="J319" s="9"/>
      <c r="K319" s="21">
        <f t="shared" si="55"/>
        <v>0</v>
      </c>
    </row>
    <row r="320" spans="1:11" ht="19.5" customHeight="1" x14ac:dyDescent="0.35">
      <c r="A320" s="5">
        <v>2559</v>
      </c>
      <c r="B320" s="5">
        <f>23+56+10</f>
        <v>89</v>
      </c>
      <c r="C320" s="6"/>
      <c r="D320" s="6"/>
      <c r="E320" s="6"/>
      <c r="F320" s="6"/>
      <c r="G320" s="6"/>
      <c r="H320" s="6"/>
      <c r="I320" s="9"/>
      <c r="J320" s="9"/>
      <c r="K320" s="21">
        <f t="shared" si="55"/>
        <v>0</v>
      </c>
    </row>
    <row r="321" spans="1:11" ht="19.5" customHeight="1" x14ac:dyDescent="0.35">
      <c r="A321" s="19" t="s">
        <v>0</v>
      </c>
      <c r="B321" s="19">
        <f>SUM(B314:B320)</f>
        <v>639</v>
      </c>
      <c r="C321" s="19"/>
      <c r="D321" s="19"/>
      <c r="E321" s="19"/>
      <c r="F321" s="19">
        <f>SUM(F314:F320)</f>
        <v>23</v>
      </c>
      <c r="G321" s="19">
        <f t="shared" ref="G321:J321" si="56">SUM(G314:G320)</f>
        <v>47</v>
      </c>
      <c r="H321" s="19">
        <f t="shared" si="56"/>
        <v>32</v>
      </c>
      <c r="I321" s="19">
        <f t="shared" si="56"/>
        <v>51</v>
      </c>
      <c r="J321" s="19">
        <f t="shared" si="56"/>
        <v>123</v>
      </c>
      <c r="K321" s="32"/>
    </row>
    <row r="322" spans="1:11" x14ac:dyDescent="0.35">
      <c r="K322" s="25" t="s">
        <v>22</v>
      </c>
    </row>
  </sheetData>
  <mergeCells count="133">
    <mergeCell ref="A285:A286"/>
    <mergeCell ref="B285:B286"/>
    <mergeCell ref="C285:I285"/>
    <mergeCell ref="J285:J286"/>
    <mergeCell ref="K285:K286"/>
    <mergeCell ref="A312:A313"/>
    <mergeCell ref="B312:B313"/>
    <mergeCell ref="C312:I312"/>
    <mergeCell ref="J312:J313"/>
    <mergeCell ref="K312:K313"/>
    <mergeCell ref="C300:I300"/>
    <mergeCell ref="J300:J301"/>
    <mergeCell ref="K300:K301"/>
    <mergeCell ref="A300:A301"/>
    <mergeCell ref="B300:B301"/>
    <mergeCell ref="A298:K298"/>
    <mergeCell ref="K69:K70"/>
    <mergeCell ref="A96:A97"/>
    <mergeCell ref="B96:B97"/>
    <mergeCell ref="C96:I96"/>
    <mergeCell ref="J96:J97"/>
    <mergeCell ref="K96:K97"/>
    <mergeCell ref="K84:K85"/>
    <mergeCell ref="A17:A18"/>
    <mergeCell ref="B17:B18"/>
    <mergeCell ref="C17:I17"/>
    <mergeCell ref="J17:J18"/>
    <mergeCell ref="K17:K18"/>
    <mergeCell ref="A42:A43"/>
    <mergeCell ref="B42:B43"/>
    <mergeCell ref="C42:I42"/>
    <mergeCell ref="J42:J43"/>
    <mergeCell ref="K42:K43"/>
    <mergeCell ref="A69:A70"/>
    <mergeCell ref="B69:B70"/>
    <mergeCell ref="C69:I69"/>
    <mergeCell ref="J69:J70"/>
    <mergeCell ref="A273:A274"/>
    <mergeCell ref="B273:B274"/>
    <mergeCell ref="A217:K217"/>
    <mergeCell ref="A244:K244"/>
    <mergeCell ref="A271:K271"/>
    <mergeCell ref="A165:A166"/>
    <mergeCell ref="B165:B166"/>
    <mergeCell ref="K258:K259"/>
    <mergeCell ref="K138:K139"/>
    <mergeCell ref="A177:A178"/>
    <mergeCell ref="C219:I219"/>
    <mergeCell ref="J219:J220"/>
    <mergeCell ref="K219:K220"/>
    <mergeCell ref="C246:I246"/>
    <mergeCell ref="J246:J247"/>
    <mergeCell ref="K246:K247"/>
    <mergeCell ref="C273:I273"/>
    <mergeCell ref="J273:J274"/>
    <mergeCell ref="K273:K274"/>
    <mergeCell ref="C231:I231"/>
    <mergeCell ref="J231:J232"/>
    <mergeCell ref="K231:K232"/>
    <mergeCell ref="C258:I258"/>
    <mergeCell ref="J258:J259"/>
    <mergeCell ref="A204:A205"/>
    <mergeCell ref="B204:B205"/>
    <mergeCell ref="C204:I204"/>
    <mergeCell ref="J204:J205"/>
    <mergeCell ref="K204:K205"/>
    <mergeCell ref="A231:A232"/>
    <mergeCell ref="B231:B232"/>
    <mergeCell ref="A258:A259"/>
    <mergeCell ref="B258:B259"/>
    <mergeCell ref="A246:A247"/>
    <mergeCell ref="B246:B247"/>
    <mergeCell ref="A219:A220"/>
    <mergeCell ref="B219:B220"/>
    <mergeCell ref="A190:K190"/>
    <mergeCell ref="A192:A193"/>
    <mergeCell ref="B192:B193"/>
    <mergeCell ref="A136:K136"/>
    <mergeCell ref="C165:I165"/>
    <mergeCell ref="J165:J166"/>
    <mergeCell ref="K165:K166"/>
    <mergeCell ref="C192:I192"/>
    <mergeCell ref="J192:J193"/>
    <mergeCell ref="K192:K193"/>
    <mergeCell ref="A150:A151"/>
    <mergeCell ref="B150:B151"/>
    <mergeCell ref="C150:I150"/>
    <mergeCell ref="A138:A139"/>
    <mergeCell ref="B177:B178"/>
    <mergeCell ref="C177:I177"/>
    <mergeCell ref="J177:J178"/>
    <mergeCell ref="K177:K178"/>
    <mergeCell ref="A109:K109"/>
    <mergeCell ref="J150:J151"/>
    <mergeCell ref="K150:K151"/>
    <mergeCell ref="C138:I138"/>
    <mergeCell ref="J138:J139"/>
    <mergeCell ref="C111:I111"/>
    <mergeCell ref="J111:J112"/>
    <mergeCell ref="K111:K112"/>
    <mergeCell ref="A163:K163"/>
    <mergeCell ref="A123:A124"/>
    <mergeCell ref="B138:B139"/>
    <mergeCell ref="A111:A112"/>
    <mergeCell ref="B111:B112"/>
    <mergeCell ref="B123:B124"/>
    <mergeCell ref="C123:I123"/>
    <mergeCell ref="J123:J124"/>
    <mergeCell ref="K123:K124"/>
    <mergeCell ref="A2:K2"/>
    <mergeCell ref="A84:A85"/>
    <mergeCell ref="B84:B85"/>
    <mergeCell ref="A30:A31"/>
    <mergeCell ref="B30:B31"/>
    <mergeCell ref="A28:K28"/>
    <mergeCell ref="A55:K55"/>
    <mergeCell ref="A82:K82"/>
    <mergeCell ref="A57:A58"/>
    <mergeCell ref="B57:B58"/>
    <mergeCell ref="C5:I5"/>
    <mergeCell ref="J5:J6"/>
    <mergeCell ref="K5:K6"/>
    <mergeCell ref="C30:I30"/>
    <mergeCell ref="J30:J31"/>
    <mergeCell ref="K30:K31"/>
    <mergeCell ref="A5:A6"/>
    <mergeCell ref="B5:B6"/>
    <mergeCell ref="A3:K3"/>
    <mergeCell ref="C57:I57"/>
    <mergeCell ref="J57:J58"/>
    <mergeCell ref="K57:K58"/>
    <mergeCell ref="C84:I84"/>
    <mergeCell ref="J84:J8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325"/>
  <sheetViews>
    <sheetView tabSelected="1" view="pageBreakPreview" topLeftCell="A313" zoomScaleNormal="100" zoomScaleSheetLayoutView="100" workbookViewId="0">
      <selection activeCell="N311" sqref="N311"/>
    </sheetView>
  </sheetViews>
  <sheetFormatPr defaultRowHeight="21" x14ac:dyDescent="0.35"/>
  <cols>
    <col min="1" max="2" width="13.875" style="1" customWidth="1"/>
    <col min="3" max="8" width="9.625" style="1" customWidth="1"/>
    <col min="9" max="10" width="9.625" style="2" customWidth="1"/>
    <col min="11" max="11" width="22.625" style="2" customWidth="1"/>
    <col min="12" max="12" width="21.125" style="2" customWidth="1"/>
    <col min="13" max="16384" width="9" style="1"/>
  </cols>
  <sheetData>
    <row r="1" spans="1:12" s="26" customFormat="1" ht="27.75" customHeight="1" x14ac:dyDescent="0.2">
      <c r="A1" s="27" t="s">
        <v>24</v>
      </c>
      <c r="I1" s="2"/>
      <c r="J1" s="2"/>
      <c r="K1" s="2"/>
      <c r="L1" s="2"/>
    </row>
    <row r="2" spans="1:12" s="4" customFormat="1" ht="25.5" customHeight="1" x14ac:dyDescent="0.4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4" customFormat="1" ht="22.5" customHeight="1" x14ac:dyDescent="0.4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4" customFormat="1" ht="23.25" customHeight="1" x14ac:dyDescent="0.4">
      <c r="A4" s="8" t="s">
        <v>18</v>
      </c>
      <c r="B4" s="3"/>
      <c r="C4" s="3"/>
      <c r="D4" s="3"/>
      <c r="E4" s="3"/>
      <c r="F4" s="3"/>
      <c r="G4" s="3"/>
      <c r="H4" s="3"/>
      <c r="I4" s="14"/>
      <c r="J4" s="14"/>
      <c r="K4" s="14"/>
      <c r="L4" s="14"/>
    </row>
    <row r="5" spans="1:12" ht="24" customHeight="1" x14ac:dyDescent="0.35">
      <c r="A5" s="45" t="s">
        <v>15</v>
      </c>
      <c r="B5" s="45" t="s">
        <v>1</v>
      </c>
      <c r="C5" s="49" t="s">
        <v>17</v>
      </c>
      <c r="D5" s="50"/>
      <c r="E5" s="50"/>
      <c r="F5" s="50"/>
      <c r="G5" s="50"/>
      <c r="H5" s="50"/>
      <c r="I5" s="50"/>
      <c r="J5" s="51"/>
      <c r="K5" s="52" t="s">
        <v>28</v>
      </c>
      <c r="L5" s="54" t="s">
        <v>29</v>
      </c>
    </row>
    <row r="6" spans="1:12" ht="41.1" customHeight="1" x14ac:dyDescent="0.35">
      <c r="A6" s="46"/>
      <c r="B6" s="45"/>
      <c r="C6" s="40">
        <v>2553</v>
      </c>
      <c r="D6" s="40">
        <v>2554</v>
      </c>
      <c r="E6" s="41">
        <v>2555</v>
      </c>
      <c r="F6" s="41">
        <v>2556</v>
      </c>
      <c r="G6" s="41">
        <v>2557</v>
      </c>
      <c r="H6" s="41">
        <v>2558</v>
      </c>
      <c r="I6" s="41">
        <v>2559</v>
      </c>
      <c r="J6" s="34">
        <v>2560</v>
      </c>
      <c r="K6" s="53"/>
      <c r="L6" s="55"/>
    </row>
    <row r="7" spans="1:12" ht="19.5" customHeight="1" x14ac:dyDescent="0.35">
      <c r="A7" s="5">
        <v>2553</v>
      </c>
      <c r="B7" s="5">
        <v>20</v>
      </c>
      <c r="C7" s="6">
        <v>14</v>
      </c>
      <c r="D7" s="6">
        <v>9</v>
      </c>
      <c r="E7" s="6">
        <v>13</v>
      </c>
      <c r="F7" s="28">
        <f>B7-K7</f>
        <v>10</v>
      </c>
      <c r="G7" s="6">
        <v>2</v>
      </c>
      <c r="H7" s="6">
        <v>0</v>
      </c>
      <c r="I7" s="9">
        <v>0</v>
      </c>
      <c r="J7" s="9">
        <v>0</v>
      </c>
      <c r="K7" s="9">
        <v>10</v>
      </c>
      <c r="L7" s="21">
        <f>F7/B7*100</f>
        <v>50</v>
      </c>
    </row>
    <row r="8" spans="1:12" ht="19.5" customHeight="1" x14ac:dyDescent="0.35">
      <c r="A8" s="5">
        <v>2554</v>
      </c>
      <c r="B8" s="5">
        <v>22</v>
      </c>
      <c r="C8" s="6"/>
      <c r="D8" s="6">
        <v>15</v>
      </c>
      <c r="E8" s="6">
        <v>15</v>
      </c>
      <c r="F8" s="6">
        <v>14</v>
      </c>
      <c r="G8" s="28">
        <f>B8-K8</f>
        <v>12</v>
      </c>
      <c r="H8" s="6">
        <v>4</v>
      </c>
      <c r="I8" s="9">
        <v>0</v>
      </c>
      <c r="J8" s="9">
        <v>0</v>
      </c>
      <c r="K8" s="9">
        <v>10</v>
      </c>
      <c r="L8" s="21">
        <f>G8/B8*100</f>
        <v>54.54545454545454</v>
      </c>
    </row>
    <row r="9" spans="1:12" ht="19.5" customHeight="1" x14ac:dyDescent="0.35">
      <c r="A9" s="5">
        <v>2555</v>
      </c>
      <c r="B9" s="5">
        <v>27</v>
      </c>
      <c r="C9" s="6"/>
      <c r="D9" s="6"/>
      <c r="E9" s="6">
        <v>20</v>
      </c>
      <c r="F9" s="6">
        <v>18</v>
      </c>
      <c r="G9" s="6">
        <v>17</v>
      </c>
      <c r="H9" s="28">
        <f>B9-K9</f>
        <v>15</v>
      </c>
      <c r="I9" s="9">
        <v>3</v>
      </c>
      <c r="J9" s="9">
        <v>0</v>
      </c>
      <c r="K9" s="9">
        <v>12</v>
      </c>
      <c r="L9" s="21">
        <f>H9/B9*100</f>
        <v>55.555555555555557</v>
      </c>
    </row>
    <row r="10" spans="1:12" ht="19.5" customHeight="1" x14ac:dyDescent="0.35">
      <c r="A10" s="5">
        <v>2556</v>
      </c>
      <c r="B10" s="5">
        <v>26</v>
      </c>
      <c r="C10" s="6"/>
      <c r="D10" s="6"/>
      <c r="E10" s="6"/>
      <c r="F10" s="6">
        <v>20</v>
      </c>
      <c r="G10" s="6">
        <v>16</v>
      </c>
      <c r="H10" s="6">
        <v>15</v>
      </c>
      <c r="I10" s="29">
        <f>B10-K10</f>
        <v>12</v>
      </c>
      <c r="J10" s="12">
        <v>5</v>
      </c>
      <c r="K10" s="9">
        <v>14</v>
      </c>
      <c r="L10" s="21">
        <f>I10/B10*100</f>
        <v>46.153846153846153</v>
      </c>
    </row>
    <row r="11" spans="1:12" ht="19.5" customHeight="1" x14ac:dyDescent="0.35">
      <c r="A11" s="5">
        <v>2557</v>
      </c>
      <c r="B11" s="5">
        <v>44</v>
      </c>
      <c r="C11" s="6"/>
      <c r="D11" s="6"/>
      <c r="E11" s="6"/>
      <c r="F11" s="6"/>
      <c r="G11" s="6">
        <v>35</v>
      </c>
      <c r="H11" s="6">
        <v>32</v>
      </c>
      <c r="I11" s="9">
        <f>B11-K11</f>
        <v>31</v>
      </c>
      <c r="J11" s="29">
        <v>31</v>
      </c>
      <c r="K11" s="9">
        <v>13</v>
      </c>
      <c r="L11" s="21">
        <f>J11/B11*100</f>
        <v>70.454545454545453</v>
      </c>
    </row>
    <row r="12" spans="1:12" ht="19.5" customHeight="1" x14ac:dyDescent="0.35">
      <c r="A12" s="5">
        <v>2558</v>
      </c>
      <c r="B12" s="5">
        <f>30+24</f>
        <v>54</v>
      </c>
      <c r="C12" s="6"/>
      <c r="D12" s="6"/>
      <c r="E12" s="6"/>
      <c r="F12" s="6"/>
      <c r="G12" s="6"/>
      <c r="H12" s="6">
        <v>37</v>
      </c>
      <c r="I12" s="9">
        <v>28</v>
      </c>
      <c r="J12" s="29">
        <v>25</v>
      </c>
      <c r="K12" s="9">
        <v>29</v>
      </c>
      <c r="L12" s="21">
        <f t="shared" ref="L12:L14" si="0">J12/B12*100</f>
        <v>46.296296296296298</v>
      </c>
    </row>
    <row r="13" spans="1:12" ht="19.5" customHeight="1" x14ac:dyDescent="0.35">
      <c r="A13" s="5">
        <v>2559</v>
      </c>
      <c r="B13" s="5">
        <v>24</v>
      </c>
      <c r="C13" s="6"/>
      <c r="D13" s="6"/>
      <c r="E13" s="6"/>
      <c r="F13" s="6"/>
      <c r="G13" s="6"/>
      <c r="H13" s="6"/>
      <c r="I13" s="9">
        <v>18</v>
      </c>
      <c r="J13" s="29">
        <v>16</v>
      </c>
      <c r="K13" s="9">
        <v>7</v>
      </c>
      <c r="L13" s="21">
        <f t="shared" si="0"/>
        <v>66.666666666666657</v>
      </c>
    </row>
    <row r="14" spans="1:12" ht="19.5" customHeight="1" x14ac:dyDescent="0.35">
      <c r="A14" s="5">
        <v>2560</v>
      </c>
      <c r="B14" s="5">
        <v>40</v>
      </c>
      <c r="C14" s="6"/>
      <c r="D14" s="6"/>
      <c r="E14" s="6"/>
      <c r="F14" s="6"/>
      <c r="G14" s="6"/>
      <c r="H14" s="6"/>
      <c r="I14" s="9"/>
      <c r="J14" s="29">
        <v>39</v>
      </c>
      <c r="K14" s="9">
        <v>1</v>
      </c>
      <c r="L14" s="21">
        <f t="shared" si="0"/>
        <v>97.5</v>
      </c>
    </row>
    <row r="15" spans="1:12" ht="19.5" customHeight="1" x14ac:dyDescent="0.35">
      <c r="A15" s="7" t="s">
        <v>0</v>
      </c>
      <c r="B15" s="7">
        <f>SUM(B7:B14)</f>
        <v>257</v>
      </c>
      <c r="C15" s="7">
        <f t="shared" ref="C15:K15" si="1">SUM(C7:C14)</f>
        <v>14</v>
      </c>
      <c r="D15" s="7">
        <f t="shared" si="1"/>
        <v>24</v>
      </c>
      <c r="E15" s="7">
        <f t="shared" si="1"/>
        <v>48</v>
      </c>
      <c r="F15" s="7">
        <f t="shared" si="1"/>
        <v>62</v>
      </c>
      <c r="G15" s="7">
        <f t="shared" si="1"/>
        <v>82</v>
      </c>
      <c r="H15" s="7">
        <f t="shared" si="1"/>
        <v>103</v>
      </c>
      <c r="I15" s="7">
        <f t="shared" si="1"/>
        <v>92</v>
      </c>
      <c r="J15" s="7">
        <f>SUM(J7:J14)</f>
        <v>116</v>
      </c>
      <c r="K15" s="7">
        <f t="shared" si="1"/>
        <v>96</v>
      </c>
      <c r="L15" s="22"/>
    </row>
    <row r="16" spans="1:12" s="4" customFormat="1" ht="23.25" customHeight="1" x14ac:dyDescent="0.4">
      <c r="A16" s="8" t="s">
        <v>19</v>
      </c>
      <c r="B16" s="3"/>
      <c r="C16" s="3"/>
      <c r="D16" s="3"/>
      <c r="E16" s="3"/>
      <c r="F16" s="3"/>
      <c r="G16" s="3"/>
      <c r="H16" s="3"/>
      <c r="I16" s="14"/>
      <c r="J16" s="14"/>
      <c r="K16" s="14"/>
      <c r="L16" s="14"/>
    </row>
    <row r="17" spans="1:12" ht="24" customHeight="1" x14ac:dyDescent="0.35">
      <c r="A17" s="60" t="s">
        <v>15</v>
      </c>
      <c r="B17" s="60" t="s">
        <v>1</v>
      </c>
      <c r="C17" s="62" t="s">
        <v>20</v>
      </c>
      <c r="D17" s="63"/>
      <c r="E17" s="63"/>
      <c r="F17" s="63"/>
      <c r="G17" s="63"/>
      <c r="H17" s="63"/>
      <c r="I17" s="63"/>
      <c r="J17" s="64"/>
      <c r="K17" s="56" t="s">
        <v>21</v>
      </c>
      <c r="L17" s="58" t="s">
        <v>23</v>
      </c>
    </row>
    <row r="18" spans="1:12" ht="41.1" customHeight="1" x14ac:dyDescent="0.35">
      <c r="A18" s="61"/>
      <c r="B18" s="60"/>
      <c r="C18" s="42">
        <v>2553</v>
      </c>
      <c r="D18" s="42">
        <v>2554</v>
      </c>
      <c r="E18" s="43">
        <v>2555</v>
      </c>
      <c r="F18" s="43">
        <v>2556</v>
      </c>
      <c r="G18" s="43">
        <v>2557</v>
      </c>
      <c r="H18" s="43">
        <v>2558</v>
      </c>
      <c r="I18" s="43">
        <v>2559</v>
      </c>
      <c r="J18" s="35">
        <v>2560</v>
      </c>
      <c r="K18" s="57"/>
      <c r="L18" s="59"/>
    </row>
    <row r="19" spans="1:12" ht="19.5" customHeight="1" x14ac:dyDescent="0.35">
      <c r="A19" s="5">
        <v>2553</v>
      </c>
      <c r="B19" s="5">
        <v>20</v>
      </c>
      <c r="C19" s="6"/>
      <c r="D19" s="6"/>
      <c r="E19" s="6"/>
      <c r="F19" s="28">
        <v>9</v>
      </c>
      <c r="G19" s="6">
        <v>1</v>
      </c>
      <c r="H19" s="6">
        <v>0</v>
      </c>
      <c r="I19" s="9">
        <v>0</v>
      </c>
      <c r="J19" s="9">
        <v>0</v>
      </c>
      <c r="K19" s="9">
        <v>9</v>
      </c>
      <c r="L19" s="21">
        <f>K19*100/B19</f>
        <v>45</v>
      </c>
    </row>
    <row r="20" spans="1:12" ht="19.5" customHeight="1" x14ac:dyDescent="0.35">
      <c r="A20" s="5">
        <v>2554</v>
      </c>
      <c r="B20" s="5">
        <v>22</v>
      </c>
      <c r="C20" s="6"/>
      <c r="D20" s="6"/>
      <c r="E20" s="6"/>
      <c r="F20" s="6"/>
      <c r="G20" s="28">
        <v>3</v>
      </c>
      <c r="H20" s="6">
        <v>8</v>
      </c>
      <c r="I20" s="9">
        <v>1</v>
      </c>
      <c r="J20" s="9">
        <v>0</v>
      </c>
      <c r="K20" s="9">
        <v>3</v>
      </c>
      <c r="L20" s="21">
        <f>K20*100/B20</f>
        <v>13.636363636363637</v>
      </c>
    </row>
    <row r="21" spans="1:12" ht="19.5" customHeight="1" x14ac:dyDescent="0.35">
      <c r="A21" s="5">
        <v>2555</v>
      </c>
      <c r="B21" s="5">
        <v>27</v>
      </c>
      <c r="C21" s="6"/>
      <c r="D21" s="6"/>
      <c r="E21" s="6"/>
      <c r="F21" s="6"/>
      <c r="G21" s="6"/>
      <c r="H21" s="28">
        <v>5</v>
      </c>
      <c r="I21" s="9">
        <v>7</v>
      </c>
      <c r="J21" s="9">
        <v>3</v>
      </c>
      <c r="K21" s="9">
        <v>5</v>
      </c>
      <c r="L21" s="21">
        <f>K21*100/B21</f>
        <v>18.518518518518519</v>
      </c>
    </row>
    <row r="22" spans="1:12" ht="19.5" customHeight="1" x14ac:dyDescent="0.35">
      <c r="A22" s="5">
        <v>2556</v>
      </c>
      <c r="B22" s="5">
        <v>26</v>
      </c>
      <c r="C22" s="6"/>
      <c r="D22" s="6"/>
      <c r="E22" s="6"/>
      <c r="F22" s="6"/>
      <c r="G22" s="6"/>
      <c r="H22" s="6"/>
      <c r="I22" s="29">
        <v>5</v>
      </c>
      <c r="J22" s="29">
        <v>2</v>
      </c>
      <c r="K22" s="9">
        <v>5</v>
      </c>
      <c r="L22" s="21">
        <f>K22*100/B22</f>
        <v>19.23076923076923</v>
      </c>
    </row>
    <row r="23" spans="1:12" ht="19.5" customHeight="1" x14ac:dyDescent="0.35">
      <c r="A23" s="5">
        <v>2557</v>
      </c>
      <c r="B23" s="5">
        <v>44</v>
      </c>
      <c r="C23" s="6"/>
      <c r="D23" s="6"/>
      <c r="E23" s="6"/>
      <c r="F23" s="6"/>
      <c r="G23" s="6"/>
      <c r="H23" s="6"/>
      <c r="I23" s="9"/>
      <c r="J23" s="9"/>
      <c r="K23" s="9"/>
      <c r="L23" s="21"/>
    </row>
    <row r="24" spans="1:12" ht="19.5" customHeight="1" x14ac:dyDescent="0.35">
      <c r="A24" s="5">
        <v>2558</v>
      </c>
      <c r="B24" s="5">
        <f>30+24</f>
        <v>54</v>
      </c>
      <c r="C24" s="6"/>
      <c r="D24" s="6"/>
      <c r="E24" s="6"/>
      <c r="F24" s="6"/>
      <c r="G24" s="6"/>
      <c r="H24" s="6"/>
      <c r="I24" s="9"/>
      <c r="J24" s="9"/>
      <c r="K24" s="9"/>
      <c r="L24" s="21"/>
    </row>
    <row r="25" spans="1:12" ht="19.5" customHeight="1" x14ac:dyDescent="0.35">
      <c r="A25" s="5">
        <v>2559</v>
      </c>
      <c r="B25" s="5">
        <v>24</v>
      </c>
      <c r="C25" s="6"/>
      <c r="D25" s="6"/>
      <c r="E25" s="6"/>
      <c r="F25" s="6"/>
      <c r="G25" s="6"/>
      <c r="H25" s="6"/>
      <c r="I25" s="9"/>
      <c r="J25" s="9"/>
      <c r="K25" s="9"/>
      <c r="L25" s="21"/>
    </row>
    <row r="26" spans="1:12" ht="19.5" customHeight="1" x14ac:dyDescent="0.35">
      <c r="A26" s="5">
        <v>2560</v>
      </c>
      <c r="B26" s="5">
        <v>40</v>
      </c>
      <c r="C26" s="6"/>
      <c r="D26" s="6"/>
      <c r="E26" s="6"/>
      <c r="F26" s="6"/>
      <c r="G26" s="6"/>
      <c r="H26" s="6"/>
      <c r="I26" s="9"/>
      <c r="J26" s="9"/>
      <c r="K26" s="9"/>
      <c r="L26" s="21"/>
    </row>
    <row r="27" spans="1:12" ht="19.5" customHeight="1" x14ac:dyDescent="0.35">
      <c r="A27" s="19" t="s">
        <v>0</v>
      </c>
      <c r="B27" s="19">
        <f>SUM(B19:B26)</f>
        <v>257</v>
      </c>
      <c r="C27" s="19"/>
      <c r="D27" s="19"/>
      <c r="E27" s="19"/>
      <c r="F27" s="19">
        <f>SUM(F19:F26)</f>
        <v>9</v>
      </c>
      <c r="G27" s="19">
        <f t="shared" ref="G27:K27" si="2">SUM(G19:G26)</f>
        <v>4</v>
      </c>
      <c r="H27" s="19">
        <f t="shared" si="2"/>
        <v>13</v>
      </c>
      <c r="I27" s="19">
        <f t="shared" si="2"/>
        <v>13</v>
      </c>
      <c r="J27" s="19">
        <f t="shared" si="2"/>
        <v>5</v>
      </c>
      <c r="K27" s="19">
        <f t="shared" si="2"/>
        <v>22</v>
      </c>
      <c r="L27" s="23"/>
    </row>
    <row r="28" spans="1:12" s="4" customFormat="1" ht="22.5" customHeight="1" x14ac:dyDescent="0.4">
      <c r="A28" s="47" t="s">
        <v>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23.25" customHeight="1" x14ac:dyDescent="0.35">
      <c r="A29" s="8" t="s">
        <v>18</v>
      </c>
      <c r="B29" s="3"/>
      <c r="C29" s="3"/>
      <c r="D29" s="3"/>
      <c r="E29" s="3"/>
      <c r="F29" s="3"/>
      <c r="G29" s="3"/>
      <c r="H29" s="3"/>
      <c r="I29" s="3"/>
      <c r="J29" s="14"/>
      <c r="K29" s="14"/>
      <c r="L29" s="14"/>
    </row>
    <row r="30" spans="1:12" ht="24" customHeight="1" x14ac:dyDescent="0.35">
      <c r="A30" s="45" t="s">
        <v>15</v>
      </c>
      <c r="B30" s="45" t="s">
        <v>1</v>
      </c>
      <c r="C30" s="49" t="s">
        <v>17</v>
      </c>
      <c r="D30" s="50"/>
      <c r="E30" s="50"/>
      <c r="F30" s="50"/>
      <c r="G30" s="50"/>
      <c r="H30" s="50"/>
      <c r="I30" s="50"/>
      <c r="J30" s="51"/>
      <c r="K30" s="52" t="s">
        <v>28</v>
      </c>
      <c r="L30" s="54" t="s">
        <v>29</v>
      </c>
    </row>
    <row r="31" spans="1:12" ht="41.1" customHeight="1" x14ac:dyDescent="0.35">
      <c r="A31" s="46"/>
      <c r="B31" s="45"/>
      <c r="C31" s="40">
        <v>2553</v>
      </c>
      <c r="D31" s="40">
        <v>2554</v>
      </c>
      <c r="E31" s="41">
        <v>2555</v>
      </c>
      <c r="F31" s="41">
        <v>2556</v>
      </c>
      <c r="G31" s="41">
        <v>2557</v>
      </c>
      <c r="H31" s="41">
        <v>2558</v>
      </c>
      <c r="I31" s="41">
        <v>2559</v>
      </c>
      <c r="J31" s="34">
        <v>2560</v>
      </c>
      <c r="K31" s="53"/>
      <c r="L31" s="55"/>
    </row>
    <row r="32" spans="1:12" ht="19.5" customHeight="1" x14ac:dyDescent="0.35">
      <c r="A32" s="5">
        <v>2553</v>
      </c>
      <c r="B32" s="5">
        <f>32+29+32+21+467</f>
        <v>581</v>
      </c>
      <c r="C32" s="6">
        <f>91+391</f>
        <v>482</v>
      </c>
      <c r="D32" s="6">
        <f>61+302</f>
        <v>363</v>
      </c>
      <c r="E32" s="6">
        <f>61+329</f>
        <v>390</v>
      </c>
      <c r="F32" s="28">
        <f>B32-K32</f>
        <v>342</v>
      </c>
      <c r="G32" s="6">
        <f>1+25</f>
        <v>26</v>
      </c>
      <c r="H32" s="6">
        <f>0+7</f>
        <v>7</v>
      </c>
      <c r="I32" s="9">
        <f>0+2</f>
        <v>2</v>
      </c>
      <c r="J32" s="9">
        <v>2</v>
      </c>
      <c r="K32" s="9">
        <v>239</v>
      </c>
      <c r="L32" s="21">
        <f>F32/B32*100</f>
        <v>58.86402753872634</v>
      </c>
    </row>
    <row r="33" spans="1:12" ht="19.5" customHeight="1" x14ac:dyDescent="0.35">
      <c r="A33" s="5">
        <v>2554</v>
      </c>
      <c r="B33" s="5">
        <f>27+42+47+493</f>
        <v>609</v>
      </c>
      <c r="C33" s="6"/>
      <c r="D33" s="6">
        <f>97+385</f>
        <v>482</v>
      </c>
      <c r="E33" s="6">
        <f>86+324</f>
        <v>410</v>
      </c>
      <c r="F33" s="6">
        <v>383</v>
      </c>
      <c r="G33" s="28">
        <f>B33-K33</f>
        <v>382</v>
      </c>
      <c r="H33" s="6">
        <f>4+6</f>
        <v>10</v>
      </c>
      <c r="I33" s="9">
        <v>0</v>
      </c>
      <c r="J33" s="9">
        <v>1</v>
      </c>
      <c r="K33" s="9">
        <v>227</v>
      </c>
      <c r="L33" s="21">
        <f>G33/B33*100</f>
        <v>62.725779967159276</v>
      </c>
    </row>
    <row r="34" spans="1:12" ht="19.5" customHeight="1" x14ac:dyDescent="0.35">
      <c r="A34" s="5">
        <v>2555</v>
      </c>
      <c r="B34" s="6">
        <f>39+42+41+177</f>
        <v>299</v>
      </c>
      <c r="C34" s="6"/>
      <c r="D34" s="6"/>
      <c r="E34" s="6">
        <f>102+148</f>
        <v>250</v>
      </c>
      <c r="F34" s="6">
        <f>86+91</f>
        <v>177</v>
      </c>
      <c r="G34" s="6">
        <v>157</v>
      </c>
      <c r="H34" s="28">
        <f>B34-K34</f>
        <v>151</v>
      </c>
      <c r="I34" s="12">
        <f>6+8</f>
        <v>14</v>
      </c>
      <c r="J34" s="12">
        <v>14</v>
      </c>
      <c r="K34" s="12">
        <v>148</v>
      </c>
      <c r="L34" s="21">
        <f>H34/B34*100</f>
        <v>50.501672240802677</v>
      </c>
    </row>
    <row r="35" spans="1:12" ht="19.5" customHeight="1" x14ac:dyDescent="0.35">
      <c r="A35" s="5">
        <v>2556</v>
      </c>
      <c r="B35" s="6">
        <f>41+39+38+183</f>
        <v>301</v>
      </c>
      <c r="C35" s="6"/>
      <c r="D35" s="6"/>
      <c r="E35" s="6"/>
      <c r="F35" s="6">
        <f>98+154</f>
        <v>252</v>
      </c>
      <c r="G35" s="6">
        <f>89+120</f>
        <v>209</v>
      </c>
      <c r="H35" s="6">
        <v>191</v>
      </c>
      <c r="I35" s="29">
        <f>B35-K35</f>
        <v>184</v>
      </c>
      <c r="J35" s="12">
        <v>72</v>
      </c>
      <c r="K35" s="12">
        <v>117</v>
      </c>
      <c r="L35" s="21">
        <f>I35/B35*100</f>
        <v>61.129568106312291</v>
      </c>
    </row>
    <row r="36" spans="1:12" ht="19.5" customHeight="1" x14ac:dyDescent="0.35">
      <c r="A36" s="5">
        <v>2557</v>
      </c>
      <c r="B36" s="6">
        <f>49+45+39+192</f>
        <v>325</v>
      </c>
      <c r="C36" s="6"/>
      <c r="D36" s="6"/>
      <c r="E36" s="6"/>
      <c r="F36" s="6"/>
      <c r="G36" s="6">
        <f>105+174</f>
        <v>279</v>
      </c>
      <c r="H36" s="6">
        <f>98+111</f>
        <v>209</v>
      </c>
      <c r="I36" s="12">
        <f t="shared" ref="I36:I38" si="3">B36-K36</f>
        <v>171</v>
      </c>
      <c r="J36" s="29">
        <v>192</v>
      </c>
      <c r="K36" s="12">
        <v>154</v>
      </c>
      <c r="L36" s="21">
        <f>J36/B36*100</f>
        <v>59.07692307692308</v>
      </c>
    </row>
    <row r="37" spans="1:12" ht="19.5" customHeight="1" x14ac:dyDescent="0.35">
      <c r="A37" s="5">
        <v>2558</v>
      </c>
      <c r="B37" s="6">
        <f>46+45+48+79</f>
        <v>218</v>
      </c>
      <c r="C37" s="6"/>
      <c r="D37" s="6"/>
      <c r="E37" s="6"/>
      <c r="F37" s="6"/>
      <c r="G37" s="6"/>
      <c r="H37" s="6">
        <f>119+58</f>
        <v>177</v>
      </c>
      <c r="I37" s="12">
        <f t="shared" si="3"/>
        <v>155</v>
      </c>
      <c r="J37" s="29">
        <v>155</v>
      </c>
      <c r="K37" s="12">
        <v>63</v>
      </c>
      <c r="L37" s="21">
        <f t="shared" ref="L37:L39" si="4">J37/B37*100</f>
        <v>71.100917431192656</v>
      </c>
    </row>
    <row r="38" spans="1:12" ht="19.5" customHeight="1" x14ac:dyDescent="0.35">
      <c r="A38" s="5">
        <v>2559</v>
      </c>
      <c r="B38" s="6">
        <f>40+35+110</f>
        <v>185</v>
      </c>
      <c r="C38" s="6"/>
      <c r="D38" s="6"/>
      <c r="E38" s="6"/>
      <c r="F38" s="6"/>
      <c r="G38" s="6"/>
      <c r="H38" s="6"/>
      <c r="I38" s="12">
        <f t="shared" si="3"/>
        <v>143</v>
      </c>
      <c r="J38" s="29">
        <v>143</v>
      </c>
      <c r="K38" s="12">
        <v>42</v>
      </c>
      <c r="L38" s="21">
        <f t="shared" si="4"/>
        <v>77.297297297297291</v>
      </c>
    </row>
    <row r="39" spans="1:12" ht="19.5" customHeight="1" x14ac:dyDescent="0.35">
      <c r="A39" s="5">
        <v>2560</v>
      </c>
      <c r="B39" s="6">
        <v>169</v>
      </c>
      <c r="C39" s="6"/>
      <c r="D39" s="6"/>
      <c r="E39" s="6"/>
      <c r="F39" s="6"/>
      <c r="G39" s="6"/>
      <c r="H39" s="6"/>
      <c r="I39" s="12"/>
      <c r="J39" s="29">
        <v>166</v>
      </c>
      <c r="K39" s="12">
        <v>3</v>
      </c>
      <c r="L39" s="21">
        <f t="shared" si="4"/>
        <v>98.224852071005913</v>
      </c>
    </row>
    <row r="40" spans="1:12" ht="19.5" customHeight="1" x14ac:dyDescent="0.35">
      <c r="A40" s="7" t="s">
        <v>0</v>
      </c>
      <c r="B40" s="16">
        <f>SUM(B32:B39)</f>
        <v>2687</v>
      </c>
      <c r="C40" s="16">
        <f t="shared" ref="C40:K40" si="5">SUM(C32:C39)</f>
        <v>482</v>
      </c>
      <c r="D40" s="16">
        <f t="shared" si="5"/>
        <v>845</v>
      </c>
      <c r="E40" s="16">
        <f t="shared" si="5"/>
        <v>1050</v>
      </c>
      <c r="F40" s="16">
        <f t="shared" si="5"/>
        <v>1154</v>
      </c>
      <c r="G40" s="16">
        <f t="shared" si="5"/>
        <v>1053</v>
      </c>
      <c r="H40" s="16">
        <f t="shared" si="5"/>
        <v>745</v>
      </c>
      <c r="I40" s="16">
        <f t="shared" si="5"/>
        <v>669</v>
      </c>
      <c r="J40" s="16">
        <f t="shared" si="5"/>
        <v>745</v>
      </c>
      <c r="K40" s="16">
        <f t="shared" si="5"/>
        <v>993</v>
      </c>
      <c r="L40" s="22"/>
    </row>
    <row r="41" spans="1:12" s="38" customFormat="1" ht="19.5" customHeight="1" x14ac:dyDescent="0.35">
      <c r="A41" s="36"/>
      <c r="B41" s="39"/>
      <c r="C41" s="36"/>
      <c r="D41" s="36"/>
      <c r="E41" s="36"/>
      <c r="F41" s="36"/>
      <c r="G41" s="36"/>
      <c r="H41" s="36"/>
      <c r="I41" s="36"/>
      <c r="J41" s="36"/>
      <c r="K41" s="36"/>
      <c r="L41" s="37"/>
    </row>
    <row r="42" spans="1:12" ht="23.25" customHeight="1" x14ac:dyDescent="0.35">
      <c r="A42" s="8" t="s">
        <v>19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</row>
    <row r="43" spans="1:12" ht="24" customHeight="1" x14ac:dyDescent="0.35">
      <c r="A43" s="60" t="s">
        <v>15</v>
      </c>
      <c r="B43" s="60" t="s">
        <v>1</v>
      </c>
      <c r="C43" s="62" t="s">
        <v>20</v>
      </c>
      <c r="D43" s="63"/>
      <c r="E43" s="63"/>
      <c r="F43" s="63"/>
      <c r="G43" s="63"/>
      <c r="H43" s="63"/>
      <c r="I43" s="63"/>
      <c r="J43" s="64"/>
      <c r="K43" s="56" t="s">
        <v>21</v>
      </c>
      <c r="L43" s="58" t="s">
        <v>23</v>
      </c>
    </row>
    <row r="44" spans="1:12" ht="41.1" customHeight="1" x14ac:dyDescent="0.35">
      <c r="A44" s="61"/>
      <c r="B44" s="60"/>
      <c r="C44" s="42">
        <v>2553</v>
      </c>
      <c r="D44" s="42">
        <v>2554</v>
      </c>
      <c r="E44" s="43">
        <v>2555</v>
      </c>
      <c r="F44" s="43">
        <v>2556</v>
      </c>
      <c r="G44" s="43">
        <v>2557</v>
      </c>
      <c r="H44" s="43">
        <v>2558</v>
      </c>
      <c r="I44" s="43">
        <v>2559</v>
      </c>
      <c r="J44" s="35">
        <v>2560</v>
      </c>
      <c r="K44" s="57"/>
      <c r="L44" s="59"/>
    </row>
    <row r="45" spans="1:12" ht="19.5" customHeight="1" x14ac:dyDescent="0.35">
      <c r="A45" s="5">
        <v>2553</v>
      </c>
      <c r="B45" s="5">
        <f>32+29+32+21+467</f>
        <v>581</v>
      </c>
      <c r="C45" s="6"/>
      <c r="D45" s="6"/>
      <c r="E45" s="6">
        <f>1+29</f>
        <v>30</v>
      </c>
      <c r="F45" s="28">
        <f>41+59</f>
        <v>100</v>
      </c>
      <c r="G45" s="6">
        <f>18+168</f>
        <v>186</v>
      </c>
      <c r="H45" s="6">
        <f>1+17</f>
        <v>18</v>
      </c>
      <c r="I45" s="9">
        <f>0+5</f>
        <v>5</v>
      </c>
      <c r="J45" s="9">
        <v>1</v>
      </c>
      <c r="K45" s="9">
        <f>42+88</f>
        <v>130</v>
      </c>
      <c r="L45" s="21">
        <f>K45*100/B45</f>
        <v>22.375215146299485</v>
      </c>
    </row>
    <row r="46" spans="1:12" ht="19.5" customHeight="1" x14ac:dyDescent="0.35">
      <c r="A46" s="5">
        <v>2554</v>
      </c>
      <c r="B46" s="5">
        <f>27+42+47+493</f>
        <v>609</v>
      </c>
      <c r="C46" s="6"/>
      <c r="D46" s="6"/>
      <c r="E46" s="6"/>
      <c r="F46" s="6">
        <v>12</v>
      </c>
      <c r="G46" s="28">
        <f>62+113</f>
        <v>175</v>
      </c>
      <c r="H46" s="6">
        <f>15+166</f>
        <v>181</v>
      </c>
      <c r="I46" s="9">
        <f>0+13</f>
        <v>13</v>
      </c>
      <c r="J46" s="9">
        <v>0</v>
      </c>
      <c r="K46" s="9">
        <f>62+125</f>
        <v>187</v>
      </c>
      <c r="L46" s="21">
        <f t="shared" ref="L46:L49" si="6">K46*100/B46</f>
        <v>30.706075533661739</v>
      </c>
    </row>
    <row r="47" spans="1:12" ht="19.5" customHeight="1" x14ac:dyDescent="0.35">
      <c r="A47" s="5">
        <v>2555</v>
      </c>
      <c r="B47" s="6">
        <f>39+42+41+177</f>
        <v>299</v>
      </c>
      <c r="C47" s="6"/>
      <c r="D47" s="6"/>
      <c r="E47" s="6"/>
      <c r="F47" s="6"/>
      <c r="G47" s="6">
        <v>6</v>
      </c>
      <c r="H47" s="28">
        <f>60+3</f>
        <v>63</v>
      </c>
      <c r="I47" s="12">
        <f>13+54</f>
        <v>67</v>
      </c>
      <c r="J47" s="12">
        <v>1</v>
      </c>
      <c r="K47" s="12">
        <f>60+9</f>
        <v>69</v>
      </c>
      <c r="L47" s="21">
        <f t="shared" si="6"/>
        <v>23.076923076923077</v>
      </c>
    </row>
    <row r="48" spans="1:12" ht="19.5" customHeight="1" x14ac:dyDescent="0.35">
      <c r="A48" s="5">
        <v>2556</v>
      </c>
      <c r="B48" s="6">
        <f>41+39+38+183</f>
        <v>301</v>
      </c>
      <c r="C48" s="6"/>
      <c r="D48" s="6"/>
      <c r="E48" s="6"/>
      <c r="F48" s="6"/>
      <c r="G48" s="6"/>
      <c r="H48" s="6"/>
      <c r="I48" s="29">
        <f>66+29</f>
        <v>95</v>
      </c>
      <c r="J48" s="29">
        <v>17</v>
      </c>
      <c r="K48" s="12">
        <f>66+29</f>
        <v>95</v>
      </c>
      <c r="L48" s="21">
        <f t="shared" si="6"/>
        <v>31.561461794019934</v>
      </c>
    </row>
    <row r="49" spans="1:12" ht="19.5" customHeight="1" x14ac:dyDescent="0.35">
      <c r="A49" s="5">
        <v>2557</v>
      </c>
      <c r="B49" s="6">
        <f>49+45+39+192</f>
        <v>325</v>
      </c>
      <c r="C49" s="6"/>
      <c r="D49" s="6"/>
      <c r="E49" s="6"/>
      <c r="F49" s="6"/>
      <c r="G49" s="6"/>
      <c r="H49" s="6"/>
      <c r="I49" s="29">
        <f>1+1</f>
        <v>2</v>
      </c>
      <c r="J49" s="29">
        <v>4</v>
      </c>
      <c r="K49" s="12">
        <f>1+1</f>
        <v>2</v>
      </c>
      <c r="L49" s="21">
        <f t="shared" si="6"/>
        <v>0.61538461538461542</v>
      </c>
    </row>
    <row r="50" spans="1:12" ht="19.5" customHeight="1" x14ac:dyDescent="0.35">
      <c r="A50" s="5">
        <v>2558</v>
      </c>
      <c r="B50" s="6">
        <f>46+45+48+79</f>
        <v>218</v>
      </c>
      <c r="C50" s="6"/>
      <c r="D50" s="6"/>
      <c r="E50" s="6"/>
      <c r="F50" s="6"/>
      <c r="G50" s="6"/>
      <c r="H50" s="6"/>
      <c r="I50" s="12"/>
      <c r="J50" s="12"/>
      <c r="K50" s="12"/>
      <c r="L50" s="21"/>
    </row>
    <row r="51" spans="1:12" ht="19.5" customHeight="1" x14ac:dyDescent="0.35">
      <c r="A51" s="5">
        <v>2559</v>
      </c>
      <c r="B51" s="6">
        <f>40+35+110</f>
        <v>185</v>
      </c>
      <c r="C51" s="6"/>
      <c r="D51" s="6"/>
      <c r="E51" s="6"/>
      <c r="F51" s="6"/>
      <c r="G51" s="6"/>
      <c r="H51" s="6"/>
      <c r="I51" s="12"/>
      <c r="J51" s="12"/>
      <c r="K51" s="12"/>
      <c r="L51" s="21"/>
    </row>
    <row r="52" spans="1:12" ht="19.5" customHeight="1" x14ac:dyDescent="0.35">
      <c r="A52" s="5">
        <v>2560</v>
      </c>
      <c r="B52" s="6">
        <v>169</v>
      </c>
      <c r="C52" s="6"/>
      <c r="D52" s="6"/>
      <c r="E52" s="6"/>
      <c r="F52" s="6"/>
      <c r="G52" s="6"/>
      <c r="H52" s="6"/>
      <c r="I52" s="12"/>
      <c r="J52" s="12"/>
      <c r="K52" s="12"/>
      <c r="L52" s="21"/>
    </row>
    <row r="53" spans="1:12" ht="19.5" customHeight="1" x14ac:dyDescent="0.35">
      <c r="A53" s="19" t="s">
        <v>0</v>
      </c>
      <c r="B53" s="20">
        <f>SUM(B45:B52)</f>
        <v>2687</v>
      </c>
      <c r="C53" s="19"/>
      <c r="D53" s="19"/>
      <c r="E53" s="19">
        <f>SUM(E45:E52)</f>
        <v>30</v>
      </c>
      <c r="F53" s="19">
        <f t="shared" ref="F53:K53" si="7">SUM(F45:F52)</f>
        <v>112</v>
      </c>
      <c r="G53" s="19">
        <f t="shared" si="7"/>
        <v>367</v>
      </c>
      <c r="H53" s="19">
        <f t="shared" si="7"/>
        <v>262</v>
      </c>
      <c r="I53" s="19">
        <f t="shared" si="7"/>
        <v>182</v>
      </c>
      <c r="J53" s="19">
        <f t="shared" si="7"/>
        <v>23</v>
      </c>
      <c r="K53" s="19">
        <f t="shared" si="7"/>
        <v>483</v>
      </c>
      <c r="L53" s="23"/>
    </row>
    <row r="54" spans="1:12" s="4" customFormat="1" ht="21.75" customHeight="1" x14ac:dyDescent="0.4">
      <c r="A54" s="33" t="s">
        <v>26</v>
      </c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</row>
    <row r="55" spans="1:12" ht="23.25" x14ac:dyDescent="0.35">
      <c r="A55" s="48" t="s">
        <v>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23.25" customHeight="1" x14ac:dyDescent="0.35">
      <c r="A56" s="8" t="s">
        <v>18</v>
      </c>
      <c r="B56" s="3"/>
      <c r="C56" s="3"/>
      <c r="D56" s="3"/>
      <c r="E56" s="3"/>
      <c r="F56" s="3"/>
      <c r="G56" s="3"/>
      <c r="H56" s="3"/>
      <c r="I56" s="3"/>
      <c r="J56" s="14"/>
      <c r="K56" s="14"/>
      <c r="L56" s="14"/>
    </row>
    <row r="57" spans="1:12" ht="24" customHeight="1" x14ac:dyDescent="0.35">
      <c r="A57" s="45" t="s">
        <v>15</v>
      </c>
      <c r="B57" s="45" t="s">
        <v>1</v>
      </c>
      <c r="C57" s="49" t="s">
        <v>17</v>
      </c>
      <c r="D57" s="50"/>
      <c r="E57" s="50"/>
      <c r="F57" s="50"/>
      <c r="G57" s="50"/>
      <c r="H57" s="50"/>
      <c r="I57" s="50"/>
      <c r="J57" s="51"/>
      <c r="K57" s="52" t="s">
        <v>28</v>
      </c>
      <c r="L57" s="54" t="s">
        <v>29</v>
      </c>
    </row>
    <row r="58" spans="1:12" ht="41.1" customHeight="1" x14ac:dyDescent="0.35">
      <c r="A58" s="46"/>
      <c r="B58" s="45"/>
      <c r="C58" s="40">
        <v>2553</v>
      </c>
      <c r="D58" s="40">
        <v>2554</v>
      </c>
      <c r="E58" s="41">
        <v>2555</v>
      </c>
      <c r="F58" s="41">
        <v>2556</v>
      </c>
      <c r="G58" s="41">
        <v>2557</v>
      </c>
      <c r="H58" s="41">
        <v>2558</v>
      </c>
      <c r="I58" s="41">
        <v>2559</v>
      </c>
      <c r="J58" s="34">
        <v>2560</v>
      </c>
      <c r="K58" s="53"/>
      <c r="L58" s="55"/>
    </row>
    <row r="59" spans="1:12" ht="19.5" customHeight="1" x14ac:dyDescent="0.35">
      <c r="A59" s="5">
        <v>2553</v>
      </c>
      <c r="B59" s="5">
        <v>44</v>
      </c>
      <c r="C59" s="6">
        <v>40</v>
      </c>
      <c r="D59" s="6">
        <v>39</v>
      </c>
      <c r="E59" s="6">
        <f>B59-K59</f>
        <v>39</v>
      </c>
      <c r="F59" s="28">
        <v>9</v>
      </c>
      <c r="G59" s="6">
        <v>0</v>
      </c>
      <c r="H59" s="6">
        <v>0</v>
      </c>
      <c r="I59" s="9">
        <v>0</v>
      </c>
      <c r="J59" s="9">
        <v>0</v>
      </c>
      <c r="K59" s="9">
        <v>5</v>
      </c>
      <c r="L59" s="21">
        <f>F59*100/B59</f>
        <v>20.454545454545453</v>
      </c>
    </row>
    <row r="60" spans="1:12" ht="19.5" customHeight="1" x14ac:dyDescent="0.35">
      <c r="A60" s="5">
        <v>2554</v>
      </c>
      <c r="B60" s="5">
        <f>10+36</f>
        <v>46</v>
      </c>
      <c r="C60" s="6"/>
      <c r="D60" s="6">
        <f>8+35</f>
        <v>43</v>
      </c>
      <c r="E60" s="6">
        <f>6+35</f>
        <v>41</v>
      </c>
      <c r="F60" s="6">
        <v>41</v>
      </c>
      <c r="G60" s="28">
        <v>31</v>
      </c>
      <c r="H60" s="6">
        <v>0</v>
      </c>
      <c r="I60" s="9">
        <v>0</v>
      </c>
      <c r="J60" s="9">
        <v>0</v>
      </c>
      <c r="K60" s="9">
        <f>4+1</f>
        <v>5</v>
      </c>
      <c r="L60" s="21">
        <f>G60*100/B60</f>
        <v>67.391304347826093</v>
      </c>
    </row>
    <row r="61" spans="1:12" ht="19.5" customHeight="1" x14ac:dyDescent="0.35">
      <c r="A61" s="5">
        <v>2555</v>
      </c>
      <c r="B61" s="5">
        <v>25</v>
      </c>
      <c r="C61" s="6"/>
      <c r="D61" s="6"/>
      <c r="E61" s="6">
        <v>24</v>
      </c>
      <c r="F61" s="6">
        <v>22</v>
      </c>
      <c r="G61" s="6">
        <v>22</v>
      </c>
      <c r="H61" s="28">
        <v>19</v>
      </c>
      <c r="I61" s="9">
        <v>0</v>
      </c>
      <c r="J61" s="9">
        <v>0</v>
      </c>
      <c r="K61" s="9">
        <v>3</v>
      </c>
      <c r="L61" s="21">
        <f>H61*100/B61</f>
        <v>76</v>
      </c>
    </row>
    <row r="62" spans="1:12" ht="19.5" customHeight="1" x14ac:dyDescent="0.35">
      <c r="A62" s="5">
        <v>2556</v>
      </c>
      <c r="B62" s="5">
        <v>19</v>
      </c>
      <c r="C62" s="6"/>
      <c r="D62" s="6"/>
      <c r="E62" s="6"/>
      <c r="F62" s="6">
        <v>15</v>
      </c>
      <c r="G62" s="6">
        <v>13</v>
      </c>
      <c r="H62" s="6">
        <v>12</v>
      </c>
      <c r="I62" s="29">
        <f>B62-K62</f>
        <v>11</v>
      </c>
      <c r="J62" s="12">
        <v>1</v>
      </c>
      <c r="K62" s="9">
        <v>8</v>
      </c>
      <c r="L62" s="21">
        <f>I62*100/B62</f>
        <v>57.89473684210526</v>
      </c>
    </row>
    <row r="63" spans="1:12" ht="19.5" customHeight="1" x14ac:dyDescent="0.35">
      <c r="A63" s="5">
        <v>2557</v>
      </c>
      <c r="B63" s="5">
        <v>24</v>
      </c>
      <c r="C63" s="6"/>
      <c r="D63" s="6"/>
      <c r="E63" s="6"/>
      <c r="F63" s="6"/>
      <c r="G63" s="6">
        <v>21</v>
      </c>
      <c r="H63" s="6">
        <v>20</v>
      </c>
      <c r="I63" s="12">
        <f t="shared" ref="I63:I66" si="8">B63-K63</f>
        <v>20</v>
      </c>
      <c r="J63" s="29">
        <v>18</v>
      </c>
      <c r="K63" s="9">
        <v>4</v>
      </c>
      <c r="L63" s="21">
        <f>J63*100/B63</f>
        <v>75</v>
      </c>
    </row>
    <row r="64" spans="1:12" ht="19.5" customHeight="1" x14ac:dyDescent="0.35">
      <c r="A64" s="5">
        <v>2558</v>
      </c>
      <c r="B64" s="5">
        <v>37</v>
      </c>
      <c r="C64" s="6"/>
      <c r="D64" s="6"/>
      <c r="E64" s="6"/>
      <c r="F64" s="6"/>
      <c r="G64" s="6"/>
      <c r="H64" s="6">
        <v>30</v>
      </c>
      <c r="I64" s="12">
        <f t="shared" si="8"/>
        <v>29</v>
      </c>
      <c r="J64" s="29">
        <v>29</v>
      </c>
      <c r="K64" s="9">
        <v>8</v>
      </c>
      <c r="L64" s="21">
        <f t="shared" ref="L64:L66" si="9">J64*100/B64</f>
        <v>78.378378378378372</v>
      </c>
    </row>
    <row r="65" spans="1:12" ht="19.5" customHeight="1" x14ac:dyDescent="0.35">
      <c r="A65" s="5">
        <v>2559</v>
      </c>
      <c r="B65" s="5">
        <v>17</v>
      </c>
      <c r="C65" s="6"/>
      <c r="D65" s="6"/>
      <c r="E65" s="6"/>
      <c r="F65" s="6"/>
      <c r="G65" s="6"/>
      <c r="H65" s="6"/>
      <c r="I65" s="12">
        <f t="shared" si="8"/>
        <v>9</v>
      </c>
      <c r="J65" s="29">
        <v>9</v>
      </c>
      <c r="K65" s="9">
        <v>8</v>
      </c>
      <c r="L65" s="21">
        <f t="shared" si="9"/>
        <v>52.941176470588232</v>
      </c>
    </row>
    <row r="66" spans="1:12" ht="19.5" customHeight="1" x14ac:dyDescent="0.35">
      <c r="A66" s="5">
        <v>2560</v>
      </c>
      <c r="B66" s="5">
        <v>27</v>
      </c>
      <c r="C66" s="6"/>
      <c r="D66" s="6"/>
      <c r="E66" s="6"/>
      <c r="F66" s="6"/>
      <c r="G66" s="6"/>
      <c r="H66" s="6"/>
      <c r="I66" s="12">
        <f t="shared" si="8"/>
        <v>26</v>
      </c>
      <c r="J66" s="29">
        <v>26</v>
      </c>
      <c r="K66" s="9">
        <v>1</v>
      </c>
      <c r="L66" s="21">
        <f t="shared" si="9"/>
        <v>96.296296296296291</v>
      </c>
    </row>
    <row r="67" spans="1:12" ht="19.5" customHeight="1" x14ac:dyDescent="0.35">
      <c r="A67" s="7" t="s">
        <v>0</v>
      </c>
      <c r="B67" s="7">
        <f>SUM(B59:B66)</f>
        <v>239</v>
      </c>
      <c r="C67" s="7">
        <f t="shared" ref="C67:J67" si="10">SUM(C59:C66)</f>
        <v>40</v>
      </c>
      <c r="D67" s="7">
        <f t="shared" si="10"/>
        <v>82</v>
      </c>
      <c r="E67" s="7">
        <f t="shared" si="10"/>
        <v>104</v>
      </c>
      <c r="F67" s="7">
        <f t="shared" si="10"/>
        <v>87</v>
      </c>
      <c r="G67" s="7">
        <f t="shared" si="10"/>
        <v>87</v>
      </c>
      <c r="H67" s="7">
        <f t="shared" si="10"/>
        <v>81</v>
      </c>
      <c r="I67" s="7">
        <f t="shared" si="10"/>
        <v>95</v>
      </c>
      <c r="J67" s="7">
        <f t="shared" si="10"/>
        <v>83</v>
      </c>
      <c r="K67" s="7">
        <f>SUM(K59:K66)</f>
        <v>42</v>
      </c>
      <c r="L67" s="22"/>
    </row>
    <row r="68" spans="1:12" s="4" customFormat="1" ht="21" customHeight="1" x14ac:dyDescent="0.4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</row>
    <row r="69" spans="1:12" ht="23.25" customHeight="1" x14ac:dyDescent="0.35">
      <c r="A69" s="8" t="s">
        <v>19</v>
      </c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</row>
    <row r="70" spans="1:12" ht="24" customHeight="1" x14ac:dyDescent="0.35">
      <c r="A70" s="60" t="s">
        <v>15</v>
      </c>
      <c r="B70" s="60" t="s">
        <v>1</v>
      </c>
      <c r="C70" s="62" t="s">
        <v>20</v>
      </c>
      <c r="D70" s="63"/>
      <c r="E70" s="63"/>
      <c r="F70" s="63"/>
      <c r="G70" s="63"/>
      <c r="H70" s="63"/>
      <c r="I70" s="63"/>
      <c r="J70" s="64"/>
      <c r="K70" s="56" t="s">
        <v>21</v>
      </c>
      <c r="L70" s="58" t="s">
        <v>23</v>
      </c>
    </row>
    <row r="71" spans="1:12" ht="41.1" customHeight="1" x14ac:dyDescent="0.35">
      <c r="A71" s="61"/>
      <c r="B71" s="60"/>
      <c r="C71" s="42">
        <v>2553</v>
      </c>
      <c r="D71" s="42">
        <v>2554</v>
      </c>
      <c r="E71" s="43">
        <v>2555</v>
      </c>
      <c r="F71" s="43">
        <v>2556</v>
      </c>
      <c r="G71" s="43">
        <v>2557</v>
      </c>
      <c r="H71" s="43">
        <v>2558</v>
      </c>
      <c r="I71" s="43">
        <v>2559</v>
      </c>
      <c r="J71" s="35">
        <v>2560</v>
      </c>
      <c r="K71" s="57"/>
      <c r="L71" s="59"/>
    </row>
    <row r="72" spans="1:12" ht="19.5" customHeight="1" x14ac:dyDescent="0.35">
      <c r="A72" s="5">
        <v>2553</v>
      </c>
      <c r="B72" s="5">
        <v>44</v>
      </c>
      <c r="C72" s="6"/>
      <c r="D72" s="6"/>
      <c r="E72" s="28">
        <v>30</v>
      </c>
      <c r="F72" s="28">
        <v>9</v>
      </c>
      <c r="G72" s="6">
        <v>0</v>
      </c>
      <c r="H72" s="6">
        <v>0</v>
      </c>
      <c r="I72" s="9">
        <v>0</v>
      </c>
      <c r="J72" s="9">
        <v>0</v>
      </c>
      <c r="K72" s="9">
        <v>39</v>
      </c>
      <c r="L72" s="21">
        <f>K72*100/B72</f>
        <v>88.63636363636364</v>
      </c>
    </row>
    <row r="73" spans="1:12" ht="19.5" customHeight="1" x14ac:dyDescent="0.35">
      <c r="A73" s="5">
        <v>2554</v>
      </c>
      <c r="B73" s="5">
        <f>10+36</f>
        <v>46</v>
      </c>
      <c r="C73" s="6"/>
      <c r="D73" s="6"/>
      <c r="E73" s="6"/>
      <c r="F73" s="28">
        <f>2+8</f>
        <v>10</v>
      </c>
      <c r="G73" s="28">
        <f>4+18</f>
        <v>22</v>
      </c>
      <c r="H73" s="6">
        <f>0+9</f>
        <v>9</v>
      </c>
      <c r="I73" s="9">
        <v>0</v>
      </c>
      <c r="J73" s="9">
        <v>0</v>
      </c>
      <c r="K73" s="9">
        <f>6+26</f>
        <v>32</v>
      </c>
      <c r="L73" s="21">
        <f>K73*100/B73</f>
        <v>69.565217391304344</v>
      </c>
    </row>
    <row r="74" spans="1:12" ht="19.5" customHeight="1" x14ac:dyDescent="0.35">
      <c r="A74" s="5">
        <v>2555</v>
      </c>
      <c r="B74" s="5">
        <v>25</v>
      </c>
      <c r="C74" s="6"/>
      <c r="D74" s="6"/>
      <c r="E74" s="6"/>
      <c r="F74" s="6"/>
      <c r="G74" s="28">
        <v>3</v>
      </c>
      <c r="H74" s="28">
        <v>19</v>
      </c>
      <c r="I74" s="9">
        <v>0</v>
      </c>
      <c r="J74" s="9">
        <v>0</v>
      </c>
      <c r="K74" s="9">
        <v>22</v>
      </c>
      <c r="L74" s="21">
        <f t="shared" ref="L74:L76" si="11">K74*100/B74</f>
        <v>88</v>
      </c>
    </row>
    <row r="75" spans="1:12" ht="19.5" customHeight="1" x14ac:dyDescent="0.35">
      <c r="A75" s="5">
        <v>2556</v>
      </c>
      <c r="B75" s="5">
        <v>19</v>
      </c>
      <c r="C75" s="6"/>
      <c r="D75" s="6"/>
      <c r="E75" s="6"/>
      <c r="F75" s="6"/>
      <c r="G75" s="6"/>
      <c r="H75" s="6"/>
      <c r="I75" s="29">
        <v>7</v>
      </c>
      <c r="J75" s="29">
        <v>3</v>
      </c>
      <c r="K75" s="9">
        <v>7</v>
      </c>
      <c r="L75" s="21">
        <f t="shared" si="11"/>
        <v>36.842105263157897</v>
      </c>
    </row>
    <row r="76" spans="1:12" ht="19.5" customHeight="1" x14ac:dyDescent="0.35">
      <c r="A76" s="5">
        <v>2557</v>
      </c>
      <c r="B76" s="5">
        <v>24</v>
      </c>
      <c r="C76" s="6"/>
      <c r="D76" s="6"/>
      <c r="E76" s="6"/>
      <c r="F76" s="6"/>
      <c r="G76" s="6"/>
      <c r="H76" s="6"/>
      <c r="I76" s="29">
        <v>2</v>
      </c>
      <c r="J76" s="29">
        <v>0</v>
      </c>
      <c r="K76" s="9">
        <v>2</v>
      </c>
      <c r="L76" s="21">
        <f t="shared" si="11"/>
        <v>8.3333333333333339</v>
      </c>
    </row>
    <row r="77" spans="1:12" ht="19.5" customHeight="1" x14ac:dyDescent="0.35">
      <c r="A77" s="5">
        <v>2558</v>
      </c>
      <c r="B77" s="5">
        <v>37</v>
      </c>
      <c r="C77" s="6"/>
      <c r="D77" s="6"/>
      <c r="E77" s="6"/>
      <c r="F77" s="6"/>
      <c r="G77" s="6"/>
      <c r="H77" s="6"/>
      <c r="I77" s="9"/>
      <c r="J77" s="9"/>
      <c r="K77" s="9"/>
      <c r="L77" s="21"/>
    </row>
    <row r="78" spans="1:12" ht="19.5" customHeight="1" x14ac:dyDescent="0.35">
      <c r="A78" s="5">
        <v>2559</v>
      </c>
      <c r="B78" s="5">
        <v>17</v>
      </c>
      <c r="C78" s="6"/>
      <c r="D78" s="6"/>
      <c r="E78" s="6"/>
      <c r="F78" s="6"/>
      <c r="G78" s="6"/>
      <c r="H78" s="6"/>
      <c r="I78" s="9"/>
      <c r="J78" s="9"/>
      <c r="K78" s="9"/>
      <c r="L78" s="21"/>
    </row>
    <row r="79" spans="1:12" ht="19.5" customHeight="1" x14ac:dyDescent="0.35">
      <c r="A79" s="5">
        <v>2560</v>
      </c>
      <c r="B79" s="5">
        <v>27</v>
      </c>
      <c r="C79" s="6"/>
      <c r="D79" s="6"/>
      <c r="E79" s="6"/>
      <c r="F79" s="6"/>
      <c r="G79" s="6"/>
      <c r="H79" s="6"/>
      <c r="I79" s="9"/>
      <c r="J79" s="9"/>
      <c r="K79" s="9"/>
      <c r="L79" s="21"/>
    </row>
    <row r="80" spans="1:12" ht="19.5" customHeight="1" x14ac:dyDescent="0.35">
      <c r="A80" s="19" t="s">
        <v>0</v>
      </c>
      <c r="B80" s="19">
        <f>SUM(B72:B79)</f>
        <v>239</v>
      </c>
      <c r="C80" s="19"/>
      <c r="D80" s="19"/>
      <c r="E80" s="19">
        <f>SUM(E72:E79)</f>
        <v>30</v>
      </c>
      <c r="F80" s="19">
        <f t="shared" ref="F80:J80" si="12">SUM(F72:F79)</f>
        <v>19</v>
      </c>
      <c r="G80" s="19">
        <f t="shared" si="12"/>
        <v>25</v>
      </c>
      <c r="H80" s="19">
        <f t="shared" si="12"/>
        <v>28</v>
      </c>
      <c r="I80" s="19">
        <f t="shared" si="12"/>
        <v>9</v>
      </c>
      <c r="J80" s="19">
        <f t="shared" si="12"/>
        <v>3</v>
      </c>
      <c r="K80" s="19">
        <f>SUM(K72:K78)</f>
        <v>102</v>
      </c>
      <c r="L80" s="23"/>
    </row>
    <row r="81" spans="1:12" s="4" customFormat="1" ht="22.5" customHeight="1" x14ac:dyDescent="0.4">
      <c r="A81" s="33" t="s">
        <v>26</v>
      </c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</row>
    <row r="82" spans="1:12" ht="23.25" x14ac:dyDescent="0.35">
      <c r="A82" s="47" t="s">
        <v>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</row>
    <row r="83" spans="1:12" ht="23.25" customHeight="1" x14ac:dyDescent="0.35">
      <c r="A83" s="8" t="s">
        <v>18</v>
      </c>
      <c r="B83" s="3"/>
      <c r="C83" s="3"/>
      <c r="D83" s="3"/>
      <c r="E83" s="3"/>
      <c r="F83" s="3"/>
      <c r="G83" s="3"/>
      <c r="H83" s="3"/>
      <c r="I83" s="3"/>
      <c r="J83" s="14"/>
      <c r="K83" s="14"/>
      <c r="L83" s="14"/>
    </row>
    <row r="84" spans="1:12" ht="24" customHeight="1" x14ac:dyDescent="0.35">
      <c r="A84" s="45" t="s">
        <v>15</v>
      </c>
      <c r="B84" s="45" t="s">
        <v>1</v>
      </c>
      <c r="C84" s="49" t="s">
        <v>17</v>
      </c>
      <c r="D84" s="50"/>
      <c r="E84" s="50"/>
      <c r="F84" s="50"/>
      <c r="G84" s="50"/>
      <c r="H84" s="50"/>
      <c r="I84" s="50"/>
      <c r="J84" s="51"/>
      <c r="K84" s="52" t="s">
        <v>28</v>
      </c>
      <c r="L84" s="54" t="s">
        <v>29</v>
      </c>
    </row>
    <row r="85" spans="1:12" ht="41.1" customHeight="1" x14ac:dyDescent="0.35">
      <c r="A85" s="46"/>
      <c r="B85" s="45"/>
      <c r="C85" s="40">
        <v>2553</v>
      </c>
      <c r="D85" s="40">
        <v>2554</v>
      </c>
      <c r="E85" s="41">
        <v>2555</v>
      </c>
      <c r="F85" s="41">
        <v>2556</v>
      </c>
      <c r="G85" s="41">
        <v>2557</v>
      </c>
      <c r="H85" s="41">
        <v>2558</v>
      </c>
      <c r="I85" s="41">
        <v>2559</v>
      </c>
      <c r="J85" s="34">
        <v>2560</v>
      </c>
      <c r="K85" s="53"/>
      <c r="L85" s="55"/>
    </row>
    <row r="86" spans="1:12" ht="19.5" customHeight="1" x14ac:dyDescent="0.35">
      <c r="A86" s="5">
        <v>2553</v>
      </c>
      <c r="B86" s="5">
        <f>22+26</f>
        <v>48</v>
      </c>
      <c r="C86" s="6">
        <f>18+26</f>
        <v>44</v>
      </c>
      <c r="D86" s="6">
        <f>11+9</f>
        <v>20</v>
      </c>
      <c r="E86" s="6">
        <f>11+10</f>
        <v>21</v>
      </c>
      <c r="F86" s="28">
        <v>23</v>
      </c>
      <c r="G86" s="6">
        <f>0+1</f>
        <v>1</v>
      </c>
      <c r="H86" s="6">
        <v>0</v>
      </c>
      <c r="I86" s="9">
        <v>0</v>
      </c>
      <c r="J86" s="9">
        <v>0</v>
      </c>
      <c r="K86" s="9">
        <v>25</v>
      </c>
      <c r="L86" s="21">
        <f>F86*100/B86</f>
        <v>47.916666666666664</v>
      </c>
    </row>
    <row r="87" spans="1:12" ht="19.5" customHeight="1" x14ac:dyDescent="0.35">
      <c r="A87" s="5">
        <v>2554</v>
      </c>
      <c r="B87" s="5">
        <f>43+71</f>
        <v>114</v>
      </c>
      <c r="C87" s="6"/>
      <c r="D87" s="6">
        <f>35+55</f>
        <v>90</v>
      </c>
      <c r="E87" s="6">
        <f>29+44</f>
        <v>73</v>
      </c>
      <c r="F87" s="6">
        <f>20+47</f>
        <v>67</v>
      </c>
      <c r="G87" s="28">
        <f>B87-K87</f>
        <v>89</v>
      </c>
      <c r="H87" s="6">
        <v>68</v>
      </c>
      <c r="I87" s="9">
        <v>35</v>
      </c>
      <c r="J87" s="9">
        <v>0</v>
      </c>
      <c r="K87" s="9">
        <v>25</v>
      </c>
      <c r="L87" s="21">
        <f>G87*100/B87</f>
        <v>78.070175438596493</v>
      </c>
    </row>
    <row r="88" spans="1:12" ht="19.5" customHeight="1" x14ac:dyDescent="0.35">
      <c r="A88" s="5">
        <v>2555</v>
      </c>
      <c r="B88" s="5">
        <f>43+44</f>
        <v>87</v>
      </c>
      <c r="C88" s="6"/>
      <c r="D88" s="6"/>
      <c r="E88" s="6">
        <f>37+44</f>
        <v>81</v>
      </c>
      <c r="F88" s="6">
        <f>30+30</f>
        <v>60</v>
      </c>
      <c r="G88" s="6">
        <f>24+27</f>
        <v>51</v>
      </c>
      <c r="H88" s="28">
        <f>B88-K88</f>
        <v>45</v>
      </c>
      <c r="I88" s="9">
        <v>56</v>
      </c>
      <c r="J88" s="9">
        <v>0</v>
      </c>
      <c r="K88" s="9">
        <v>42</v>
      </c>
      <c r="L88" s="21">
        <f>H88*100/B88</f>
        <v>51.724137931034484</v>
      </c>
    </row>
    <row r="89" spans="1:12" ht="19.5" customHeight="1" x14ac:dyDescent="0.35">
      <c r="A89" s="5">
        <v>2556</v>
      </c>
      <c r="B89" s="5">
        <f>47+45+76</f>
        <v>168</v>
      </c>
      <c r="C89" s="6"/>
      <c r="D89" s="6"/>
      <c r="E89" s="6"/>
      <c r="F89" s="6">
        <f>79+63</f>
        <v>142</v>
      </c>
      <c r="G89" s="6">
        <v>134</v>
      </c>
      <c r="H89" s="6">
        <v>134</v>
      </c>
      <c r="I89" s="29">
        <f>B89-K89</f>
        <v>88</v>
      </c>
      <c r="J89" s="12">
        <v>30</v>
      </c>
      <c r="K89" s="9">
        <v>80</v>
      </c>
      <c r="L89" s="21">
        <f>I89*100/B89</f>
        <v>52.38095238095238</v>
      </c>
    </row>
    <row r="90" spans="1:12" ht="19.5" customHeight="1" x14ac:dyDescent="0.35">
      <c r="A90" s="5">
        <v>2557</v>
      </c>
      <c r="B90" s="5">
        <f>44+42+37+81</f>
        <v>204</v>
      </c>
      <c r="C90" s="6"/>
      <c r="D90" s="6"/>
      <c r="E90" s="6"/>
      <c r="F90" s="6"/>
      <c r="G90" s="6">
        <f>95+70</f>
        <v>165</v>
      </c>
      <c r="H90" s="6">
        <f>78+49</f>
        <v>127</v>
      </c>
      <c r="I90" s="12">
        <f>B90-K90</f>
        <v>115</v>
      </c>
      <c r="J90" s="29">
        <v>114</v>
      </c>
      <c r="K90" s="9">
        <v>89</v>
      </c>
      <c r="L90" s="21">
        <f>J90*100/B90</f>
        <v>55.882352941176471</v>
      </c>
    </row>
    <row r="91" spans="1:12" ht="19.5" customHeight="1" x14ac:dyDescent="0.35">
      <c r="A91" s="5">
        <v>2558</v>
      </c>
      <c r="B91" s="5">
        <f>122+23</f>
        <v>145</v>
      </c>
      <c r="C91" s="6"/>
      <c r="D91" s="6"/>
      <c r="E91" s="6"/>
      <c r="F91" s="6"/>
      <c r="G91" s="6"/>
      <c r="H91" s="6">
        <f>109+17</f>
        <v>126</v>
      </c>
      <c r="I91" s="12">
        <f t="shared" ref="I91:I92" si="13">B91-K91</f>
        <v>108</v>
      </c>
      <c r="J91" s="29">
        <v>108</v>
      </c>
      <c r="K91" s="9">
        <v>37</v>
      </c>
      <c r="L91" s="21">
        <f t="shared" ref="L91:L93" si="14">J91*100/B91</f>
        <v>74.482758620689651</v>
      </c>
    </row>
    <row r="92" spans="1:12" ht="19.5" customHeight="1" x14ac:dyDescent="0.35">
      <c r="A92" s="5">
        <v>2559</v>
      </c>
      <c r="B92" s="5">
        <f>61+48</f>
        <v>109</v>
      </c>
      <c r="C92" s="6"/>
      <c r="D92" s="6"/>
      <c r="E92" s="6"/>
      <c r="F92" s="6"/>
      <c r="G92" s="6"/>
      <c r="H92" s="6"/>
      <c r="I92" s="12">
        <f t="shared" si="13"/>
        <v>78</v>
      </c>
      <c r="J92" s="29">
        <v>78</v>
      </c>
      <c r="K92" s="9">
        <v>31</v>
      </c>
      <c r="L92" s="21">
        <f t="shared" si="14"/>
        <v>71.559633027522935</v>
      </c>
    </row>
    <row r="93" spans="1:12" ht="19.5" customHeight="1" x14ac:dyDescent="0.35">
      <c r="A93" s="5">
        <v>2560</v>
      </c>
      <c r="B93" s="5">
        <v>126</v>
      </c>
      <c r="C93" s="6"/>
      <c r="D93" s="6"/>
      <c r="E93" s="6"/>
      <c r="F93" s="6"/>
      <c r="G93" s="6"/>
      <c r="H93" s="6"/>
      <c r="I93" s="12"/>
      <c r="J93" s="29">
        <v>122</v>
      </c>
      <c r="K93" s="9">
        <v>4</v>
      </c>
      <c r="L93" s="21">
        <f t="shared" si="14"/>
        <v>96.825396825396822</v>
      </c>
    </row>
    <row r="94" spans="1:12" ht="19.5" customHeight="1" x14ac:dyDescent="0.35">
      <c r="A94" s="7" t="s">
        <v>0</v>
      </c>
      <c r="B94" s="7">
        <f>SUM(B86:B93)</f>
        <v>1001</v>
      </c>
      <c r="C94" s="7">
        <f t="shared" ref="C94:K94" si="15">SUM(C86:C93)</f>
        <v>44</v>
      </c>
      <c r="D94" s="7">
        <f t="shared" si="15"/>
        <v>110</v>
      </c>
      <c r="E94" s="7">
        <f t="shared" si="15"/>
        <v>175</v>
      </c>
      <c r="F94" s="7">
        <f t="shared" si="15"/>
        <v>292</v>
      </c>
      <c r="G94" s="7">
        <f t="shared" si="15"/>
        <v>440</v>
      </c>
      <c r="H94" s="7">
        <f t="shared" si="15"/>
        <v>500</v>
      </c>
      <c r="I94" s="7">
        <f t="shared" si="15"/>
        <v>480</v>
      </c>
      <c r="J94" s="7">
        <f t="shared" si="15"/>
        <v>452</v>
      </c>
      <c r="K94" s="7">
        <f t="shared" si="15"/>
        <v>333</v>
      </c>
      <c r="L94" s="22"/>
    </row>
    <row r="95" spans="1:12" s="4" customFormat="1" ht="12.75" customHeight="1" x14ac:dyDescent="0.4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</row>
    <row r="96" spans="1:12" ht="23.25" customHeight="1" x14ac:dyDescent="0.35">
      <c r="A96" s="8" t="s">
        <v>19</v>
      </c>
      <c r="B96" s="3"/>
      <c r="C96" s="3"/>
      <c r="D96" s="3"/>
      <c r="E96" s="3"/>
      <c r="F96" s="3"/>
      <c r="G96" s="3"/>
      <c r="H96" s="3"/>
      <c r="I96" s="3"/>
      <c r="J96" s="14"/>
      <c r="K96" s="14"/>
      <c r="L96" s="14"/>
    </row>
    <row r="97" spans="1:12" ht="24" customHeight="1" x14ac:dyDescent="0.35">
      <c r="A97" s="60" t="s">
        <v>15</v>
      </c>
      <c r="B97" s="60" t="s">
        <v>1</v>
      </c>
      <c r="C97" s="62" t="s">
        <v>20</v>
      </c>
      <c r="D97" s="63"/>
      <c r="E97" s="63"/>
      <c r="F97" s="63"/>
      <c r="G97" s="63"/>
      <c r="H97" s="63"/>
      <c r="I97" s="63"/>
      <c r="J97" s="64"/>
      <c r="K97" s="56" t="s">
        <v>21</v>
      </c>
      <c r="L97" s="58" t="s">
        <v>23</v>
      </c>
    </row>
    <row r="98" spans="1:12" ht="41.1" customHeight="1" x14ac:dyDescent="0.35">
      <c r="A98" s="61"/>
      <c r="B98" s="60"/>
      <c r="C98" s="42">
        <v>2553</v>
      </c>
      <c r="D98" s="42">
        <v>2554</v>
      </c>
      <c r="E98" s="43">
        <v>2555</v>
      </c>
      <c r="F98" s="43">
        <v>2556</v>
      </c>
      <c r="G98" s="43">
        <v>2557</v>
      </c>
      <c r="H98" s="43">
        <v>2558</v>
      </c>
      <c r="I98" s="43">
        <v>2559</v>
      </c>
      <c r="J98" s="35">
        <v>2560</v>
      </c>
      <c r="K98" s="57"/>
      <c r="L98" s="59"/>
    </row>
    <row r="99" spans="1:12" ht="19.5" customHeight="1" x14ac:dyDescent="0.35">
      <c r="A99" s="5">
        <v>2553</v>
      </c>
      <c r="B99" s="5">
        <f>22+26</f>
        <v>48</v>
      </c>
      <c r="C99" s="6"/>
      <c r="D99" s="6"/>
      <c r="E99" s="6"/>
      <c r="F99" s="28">
        <v>10</v>
      </c>
      <c r="G99" s="6">
        <f>0+9</f>
        <v>9</v>
      </c>
      <c r="H99" s="6">
        <f>0+4</f>
        <v>4</v>
      </c>
      <c r="I99" s="9">
        <v>0</v>
      </c>
      <c r="J99" s="9">
        <v>0</v>
      </c>
      <c r="K99" s="9">
        <v>10</v>
      </c>
      <c r="L99" s="21">
        <f>K99*100/B99</f>
        <v>20.833333333333332</v>
      </c>
    </row>
    <row r="100" spans="1:12" ht="19.5" customHeight="1" x14ac:dyDescent="0.35">
      <c r="A100" s="5">
        <v>2554</v>
      </c>
      <c r="B100" s="5">
        <f>43+71</f>
        <v>114</v>
      </c>
      <c r="C100" s="6"/>
      <c r="D100" s="6"/>
      <c r="E100" s="6"/>
      <c r="F100" s="6"/>
      <c r="G100" s="28">
        <f>17+4</f>
        <v>21</v>
      </c>
      <c r="H100" s="6">
        <f>1+32</f>
        <v>33</v>
      </c>
      <c r="I100" s="9">
        <f>0+3</f>
        <v>3</v>
      </c>
      <c r="J100" s="9">
        <v>0</v>
      </c>
      <c r="K100" s="9">
        <f>17+4</f>
        <v>21</v>
      </c>
      <c r="L100" s="21">
        <f t="shared" ref="L100:L102" si="16">K100*100/B100</f>
        <v>18.421052631578949</v>
      </c>
    </row>
    <row r="101" spans="1:12" ht="19.5" customHeight="1" x14ac:dyDescent="0.35">
      <c r="A101" s="5">
        <v>2555</v>
      </c>
      <c r="B101" s="5">
        <f>43+44</f>
        <v>87</v>
      </c>
      <c r="C101" s="6"/>
      <c r="D101" s="6"/>
      <c r="E101" s="6"/>
      <c r="F101" s="6"/>
      <c r="G101" s="6"/>
      <c r="H101" s="28">
        <v>11</v>
      </c>
      <c r="I101" s="9">
        <f>10+21</f>
        <v>31</v>
      </c>
      <c r="J101" s="9">
        <v>3</v>
      </c>
      <c r="K101" s="9">
        <v>11</v>
      </c>
      <c r="L101" s="21">
        <f t="shared" si="16"/>
        <v>12.64367816091954</v>
      </c>
    </row>
    <row r="102" spans="1:12" ht="19.5" customHeight="1" x14ac:dyDescent="0.35">
      <c r="A102" s="5">
        <v>2556</v>
      </c>
      <c r="B102" s="5">
        <f>47+45+76</f>
        <v>168</v>
      </c>
      <c r="C102" s="6"/>
      <c r="D102" s="6"/>
      <c r="E102" s="6"/>
      <c r="F102" s="6"/>
      <c r="G102" s="6"/>
      <c r="H102" s="6"/>
      <c r="I102" s="29">
        <f>1+4</f>
        <v>5</v>
      </c>
      <c r="J102" s="29">
        <v>53</v>
      </c>
      <c r="K102" s="9">
        <f>1+4</f>
        <v>5</v>
      </c>
      <c r="L102" s="21">
        <f t="shared" si="16"/>
        <v>2.9761904761904763</v>
      </c>
    </row>
    <row r="103" spans="1:12" ht="19.5" customHeight="1" x14ac:dyDescent="0.35">
      <c r="A103" s="5">
        <v>2557</v>
      </c>
      <c r="B103" s="5">
        <f>44+42+37+81</f>
        <v>204</v>
      </c>
      <c r="C103" s="6"/>
      <c r="D103" s="6"/>
      <c r="E103" s="6"/>
      <c r="F103" s="6"/>
      <c r="G103" s="6"/>
      <c r="H103" s="6"/>
      <c r="I103" s="9"/>
      <c r="J103" s="29">
        <v>1</v>
      </c>
      <c r="K103" s="9">
        <v>1</v>
      </c>
      <c r="L103" s="21">
        <f>J103*100/B103</f>
        <v>0.49019607843137253</v>
      </c>
    </row>
    <row r="104" spans="1:12" ht="19.5" customHeight="1" x14ac:dyDescent="0.35">
      <c r="A104" s="5">
        <v>2558</v>
      </c>
      <c r="B104" s="5">
        <f>122+23</f>
        <v>145</v>
      </c>
      <c r="C104" s="6"/>
      <c r="D104" s="6"/>
      <c r="E104" s="6"/>
      <c r="F104" s="6"/>
      <c r="G104" s="6"/>
      <c r="H104" s="6"/>
      <c r="I104" s="9"/>
      <c r="J104" s="9"/>
      <c r="K104" s="9"/>
      <c r="L104" s="21"/>
    </row>
    <row r="105" spans="1:12" ht="19.5" customHeight="1" x14ac:dyDescent="0.35">
      <c r="A105" s="5">
        <v>2559</v>
      </c>
      <c r="B105" s="5">
        <f>61+48</f>
        <v>109</v>
      </c>
      <c r="C105" s="6"/>
      <c r="D105" s="6"/>
      <c r="E105" s="6"/>
      <c r="F105" s="6"/>
      <c r="G105" s="6"/>
      <c r="H105" s="6"/>
      <c r="I105" s="9"/>
      <c r="J105" s="9"/>
      <c r="K105" s="9"/>
      <c r="L105" s="21"/>
    </row>
    <row r="106" spans="1:12" ht="19.5" customHeight="1" x14ac:dyDescent="0.35">
      <c r="A106" s="5">
        <v>2560</v>
      </c>
      <c r="B106" s="5">
        <v>126</v>
      </c>
      <c r="C106" s="6"/>
      <c r="D106" s="6"/>
      <c r="E106" s="6"/>
      <c r="F106" s="6"/>
      <c r="G106" s="6"/>
      <c r="H106" s="6"/>
      <c r="I106" s="9"/>
      <c r="J106" s="9"/>
      <c r="K106" s="9"/>
      <c r="L106" s="21"/>
    </row>
    <row r="107" spans="1:12" ht="19.5" customHeight="1" x14ac:dyDescent="0.35">
      <c r="A107" s="19" t="s">
        <v>0</v>
      </c>
      <c r="B107" s="19">
        <f>SUM(B99:B106)</f>
        <v>1001</v>
      </c>
      <c r="C107" s="19"/>
      <c r="D107" s="19"/>
      <c r="E107" s="19"/>
      <c r="F107" s="19">
        <f>SUM(F99:F106)</f>
        <v>10</v>
      </c>
      <c r="G107" s="19">
        <f t="shared" ref="G107:K107" si="17">SUM(G99:G106)</f>
        <v>30</v>
      </c>
      <c r="H107" s="19">
        <f t="shared" si="17"/>
        <v>48</v>
      </c>
      <c r="I107" s="19">
        <f t="shared" si="17"/>
        <v>39</v>
      </c>
      <c r="J107" s="19">
        <f t="shared" si="17"/>
        <v>57</v>
      </c>
      <c r="K107" s="19">
        <f t="shared" si="17"/>
        <v>48</v>
      </c>
      <c r="L107" s="23"/>
    </row>
    <row r="108" spans="1:12" s="4" customFormat="1" ht="19.5" customHeight="1" x14ac:dyDescent="0.4">
      <c r="A108" s="33" t="s">
        <v>26</v>
      </c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</row>
    <row r="109" spans="1:12" s="4" customFormat="1" ht="12.75" customHeight="1" x14ac:dyDescent="0.4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</row>
    <row r="110" spans="1:12" ht="23.25" x14ac:dyDescent="0.35">
      <c r="A110" s="48" t="s">
        <v>9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1:12" ht="23.25" customHeight="1" x14ac:dyDescent="0.35">
      <c r="A111" s="8" t="s">
        <v>18</v>
      </c>
      <c r="B111" s="3"/>
      <c r="C111" s="3"/>
      <c r="D111" s="3"/>
      <c r="E111" s="3"/>
      <c r="F111" s="3"/>
      <c r="G111" s="3"/>
      <c r="H111" s="3"/>
      <c r="I111" s="3"/>
      <c r="J111" s="14"/>
      <c r="K111" s="14"/>
      <c r="L111" s="14"/>
    </row>
    <row r="112" spans="1:12" ht="24" customHeight="1" x14ac:dyDescent="0.35">
      <c r="A112" s="45" t="s">
        <v>15</v>
      </c>
      <c r="B112" s="45" t="s">
        <v>1</v>
      </c>
      <c r="C112" s="49" t="s">
        <v>17</v>
      </c>
      <c r="D112" s="50"/>
      <c r="E112" s="50"/>
      <c r="F112" s="50"/>
      <c r="G112" s="50"/>
      <c r="H112" s="50"/>
      <c r="I112" s="50"/>
      <c r="J112" s="51"/>
      <c r="K112" s="52" t="s">
        <v>28</v>
      </c>
      <c r="L112" s="54" t="s">
        <v>29</v>
      </c>
    </row>
    <row r="113" spans="1:12" ht="41.1" customHeight="1" x14ac:dyDescent="0.35">
      <c r="A113" s="46"/>
      <c r="B113" s="45"/>
      <c r="C113" s="40">
        <v>2553</v>
      </c>
      <c r="D113" s="40">
        <v>2554</v>
      </c>
      <c r="E113" s="41">
        <v>2555</v>
      </c>
      <c r="F113" s="41">
        <v>2556</v>
      </c>
      <c r="G113" s="41">
        <v>2557</v>
      </c>
      <c r="H113" s="41">
        <v>2558</v>
      </c>
      <c r="I113" s="41">
        <v>2559</v>
      </c>
      <c r="J113" s="34">
        <v>2560</v>
      </c>
      <c r="K113" s="53"/>
      <c r="L113" s="55"/>
    </row>
    <row r="114" spans="1:12" ht="19.5" customHeight="1" x14ac:dyDescent="0.35">
      <c r="A114" s="5">
        <v>2553</v>
      </c>
      <c r="B114" s="5">
        <v>22</v>
      </c>
      <c r="C114" s="6">
        <v>21</v>
      </c>
      <c r="D114" s="6">
        <v>14</v>
      </c>
      <c r="E114" s="6">
        <v>13</v>
      </c>
      <c r="F114" s="28">
        <f>B114-K114</f>
        <v>13</v>
      </c>
      <c r="G114" s="6">
        <v>0</v>
      </c>
      <c r="H114" s="6">
        <v>0</v>
      </c>
      <c r="I114" s="9">
        <v>0</v>
      </c>
      <c r="J114" s="9">
        <v>0</v>
      </c>
      <c r="K114" s="9">
        <v>9</v>
      </c>
      <c r="L114" s="21">
        <f>F114/B114*100</f>
        <v>59.090909090909093</v>
      </c>
    </row>
    <row r="115" spans="1:12" ht="19.5" customHeight="1" x14ac:dyDescent="0.35">
      <c r="A115" s="5">
        <v>2554</v>
      </c>
      <c r="B115" s="5">
        <v>34</v>
      </c>
      <c r="C115" s="6"/>
      <c r="D115" s="6">
        <v>30</v>
      </c>
      <c r="E115" s="6">
        <v>25</v>
      </c>
      <c r="F115" s="6">
        <v>25</v>
      </c>
      <c r="G115" s="28">
        <f>B115-K115</f>
        <v>25</v>
      </c>
      <c r="H115" s="6">
        <v>0</v>
      </c>
      <c r="I115" s="9">
        <v>0</v>
      </c>
      <c r="J115" s="9">
        <v>0</v>
      </c>
      <c r="K115" s="9">
        <v>9</v>
      </c>
      <c r="L115" s="21">
        <f>G115/B115*100</f>
        <v>73.529411764705884</v>
      </c>
    </row>
    <row r="116" spans="1:12" ht="19.5" customHeight="1" x14ac:dyDescent="0.35">
      <c r="A116" s="5">
        <v>2555</v>
      </c>
      <c r="B116" s="5">
        <v>46</v>
      </c>
      <c r="C116" s="6"/>
      <c r="D116" s="6"/>
      <c r="E116" s="6">
        <v>43</v>
      </c>
      <c r="F116" s="6">
        <v>40</v>
      </c>
      <c r="G116" s="6">
        <v>36</v>
      </c>
      <c r="H116" s="28">
        <f>B116-K116</f>
        <v>36</v>
      </c>
      <c r="I116" s="9">
        <v>1</v>
      </c>
      <c r="J116" s="9">
        <v>0</v>
      </c>
      <c r="K116" s="9">
        <v>10</v>
      </c>
      <c r="L116" s="21">
        <f>H116/B116*100</f>
        <v>78.260869565217391</v>
      </c>
    </row>
    <row r="117" spans="1:12" ht="19.5" customHeight="1" x14ac:dyDescent="0.35">
      <c r="A117" s="5">
        <v>2556</v>
      </c>
      <c r="B117" s="5">
        <f>30+32</f>
        <v>62</v>
      </c>
      <c r="C117" s="6"/>
      <c r="D117" s="6"/>
      <c r="E117" s="6"/>
      <c r="F117" s="6">
        <v>55</v>
      </c>
      <c r="G117" s="6">
        <v>48</v>
      </c>
      <c r="H117" s="6">
        <v>46</v>
      </c>
      <c r="I117" s="29">
        <f>B117-K117</f>
        <v>47</v>
      </c>
      <c r="J117" s="12">
        <v>1</v>
      </c>
      <c r="K117" s="9">
        <v>15</v>
      </c>
      <c r="L117" s="21">
        <f>I117/B117*100</f>
        <v>75.806451612903231</v>
      </c>
    </row>
    <row r="118" spans="1:12" ht="19.5" customHeight="1" x14ac:dyDescent="0.35">
      <c r="A118" s="5">
        <v>2557</v>
      </c>
      <c r="B118" s="5">
        <v>51</v>
      </c>
      <c r="C118" s="6"/>
      <c r="D118" s="6"/>
      <c r="E118" s="6"/>
      <c r="F118" s="6"/>
      <c r="G118" s="6">
        <v>45</v>
      </c>
      <c r="H118" s="6">
        <v>40</v>
      </c>
      <c r="I118" s="12">
        <f t="shared" ref="I118" si="18">B118-K118</f>
        <v>38</v>
      </c>
      <c r="J118" s="29">
        <v>38</v>
      </c>
      <c r="K118" s="9">
        <v>13</v>
      </c>
      <c r="L118" s="21">
        <f>J118/B118*100</f>
        <v>74.509803921568633</v>
      </c>
    </row>
    <row r="119" spans="1:12" ht="19.5" customHeight="1" x14ac:dyDescent="0.35">
      <c r="A119" s="5">
        <v>2558</v>
      </c>
      <c r="B119" s="5">
        <f>24+23</f>
        <v>47</v>
      </c>
      <c r="C119" s="6"/>
      <c r="D119" s="6"/>
      <c r="E119" s="6"/>
      <c r="F119" s="6"/>
      <c r="G119" s="6"/>
      <c r="H119" s="6">
        <v>36</v>
      </c>
      <c r="I119" s="12">
        <f>B119-K119</f>
        <v>34</v>
      </c>
      <c r="J119" s="29">
        <v>34</v>
      </c>
      <c r="K119" s="9">
        <v>13</v>
      </c>
      <c r="L119" s="21">
        <f t="shared" ref="L119:L121" si="19">J119/B119*100</f>
        <v>72.340425531914903</v>
      </c>
    </row>
    <row r="120" spans="1:12" ht="19.5" customHeight="1" x14ac:dyDescent="0.35">
      <c r="A120" s="5">
        <v>2559</v>
      </c>
      <c r="B120" s="5">
        <v>27</v>
      </c>
      <c r="C120" s="6"/>
      <c r="D120" s="6"/>
      <c r="E120" s="6"/>
      <c r="F120" s="6"/>
      <c r="G120" s="6"/>
      <c r="H120" s="6"/>
      <c r="I120" s="12">
        <v>27</v>
      </c>
      <c r="J120" s="29">
        <v>19</v>
      </c>
      <c r="K120" s="9">
        <v>8</v>
      </c>
      <c r="L120" s="21">
        <f t="shared" si="19"/>
        <v>70.370370370370367</v>
      </c>
    </row>
    <row r="121" spans="1:12" ht="19.5" customHeight="1" x14ac:dyDescent="0.35">
      <c r="A121" s="5">
        <v>2560</v>
      </c>
      <c r="B121" s="5">
        <v>39</v>
      </c>
      <c r="C121" s="6"/>
      <c r="D121" s="6"/>
      <c r="E121" s="6"/>
      <c r="F121" s="6"/>
      <c r="G121" s="6"/>
      <c r="H121" s="6"/>
      <c r="I121" s="12"/>
      <c r="J121" s="29">
        <v>38</v>
      </c>
      <c r="K121" s="9">
        <v>1</v>
      </c>
      <c r="L121" s="21">
        <f t="shared" si="19"/>
        <v>97.435897435897431</v>
      </c>
    </row>
    <row r="122" spans="1:12" ht="19.5" customHeight="1" x14ac:dyDescent="0.35">
      <c r="A122" s="7" t="s">
        <v>0</v>
      </c>
      <c r="B122" s="7">
        <f>SUM(B114:B121)</f>
        <v>328</v>
      </c>
      <c r="C122" s="7">
        <f t="shared" ref="C122:K122" si="20">SUM(C114:C121)</f>
        <v>21</v>
      </c>
      <c r="D122" s="7">
        <f t="shared" si="20"/>
        <v>44</v>
      </c>
      <c r="E122" s="7">
        <f t="shared" si="20"/>
        <v>81</v>
      </c>
      <c r="F122" s="7">
        <f t="shared" si="20"/>
        <v>133</v>
      </c>
      <c r="G122" s="7">
        <f t="shared" si="20"/>
        <v>154</v>
      </c>
      <c r="H122" s="7">
        <f t="shared" si="20"/>
        <v>158</v>
      </c>
      <c r="I122" s="7">
        <f t="shared" si="20"/>
        <v>147</v>
      </c>
      <c r="J122" s="7">
        <f t="shared" si="20"/>
        <v>130</v>
      </c>
      <c r="K122" s="7">
        <f t="shared" si="20"/>
        <v>78</v>
      </c>
      <c r="L122" s="22"/>
    </row>
    <row r="123" spans="1:12" s="4" customFormat="1" ht="23.25" customHeight="1" x14ac:dyDescent="0.4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</row>
    <row r="124" spans="1:12" ht="23.25" customHeight="1" x14ac:dyDescent="0.35">
      <c r="A124" s="8" t="s">
        <v>19</v>
      </c>
      <c r="B124" s="3"/>
      <c r="C124" s="3"/>
      <c r="D124" s="3"/>
      <c r="E124" s="3"/>
      <c r="F124" s="3"/>
      <c r="G124" s="3"/>
      <c r="H124" s="3"/>
      <c r="I124" s="3"/>
      <c r="J124" s="14"/>
      <c r="K124" s="14"/>
      <c r="L124" s="14"/>
    </row>
    <row r="125" spans="1:12" ht="24" customHeight="1" x14ac:dyDescent="0.35">
      <c r="A125" s="60" t="s">
        <v>15</v>
      </c>
      <c r="B125" s="60" t="s">
        <v>1</v>
      </c>
      <c r="C125" s="62" t="s">
        <v>20</v>
      </c>
      <c r="D125" s="63"/>
      <c r="E125" s="63"/>
      <c r="F125" s="63"/>
      <c r="G125" s="63"/>
      <c r="H125" s="63"/>
      <c r="I125" s="63"/>
      <c r="J125" s="64"/>
      <c r="K125" s="56" t="s">
        <v>21</v>
      </c>
      <c r="L125" s="58" t="s">
        <v>23</v>
      </c>
    </row>
    <row r="126" spans="1:12" ht="41.1" customHeight="1" x14ac:dyDescent="0.35">
      <c r="A126" s="61"/>
      <c r="B126" s="60"/>
      <c r="C126" s="42">
        <v>2553</v>
      </c>
      <c r="D126" s="42">
        <v>2554</v>
      </c>
      <c r="E126" s="43">
        <v>2555</v>
      </c>
      <c r="F126" s="43">
        <v>2556</v>
      </c>
      <c r="G126" s="43">
        <v>2557</v>
      </c>
      <c r="H126" s="43">
        <v>2558</v>
      </c>
      <c r="I126" s="43">
        <v>2559</v>
      </c>
      <c r="J126" s="35">
        <v>2560</v>
      </c>
      <c r="K126" s="57"/>
      <c r="L126" s="59"/>
    </row>
    <row r="127" spans="1:12" ht="19.5" customHeight="1" x14ac:dyDescent="0.35">
      <c r="A127" s="5">
        <v>2553</v>
      </c>
      <c r="B127" s="5">
        <v>22</v>
      </c>
      <c r="C127" s="6"/>
      <c r="D127" s="6"/>
      <c r="E127" s="6"/>
      <c r="F127" s="28">
        <v>11</v>
      </c>
      <c r="G127" s="6">
        <v>2</v>
      </c>
      <c r="H127" s="6">
        <v>0</v>
      </c>
      <c r="I127" s="9">
        <v>0</v>
      </c>
      <c r="J127" s="9">
        <v>0</v>
      </c>
      <c r="K127" s="9">
        <v>11</v>
      </c>
      <c r="L127" s="21">
        <f>K127*100/B127</f>
        <v>50</v>
      </c>
    </row>
    <row r="128" spans="1:12" ht="19.5" customHeight="1" x14ac:dyDescent="0.35">
      <c r="A128" s="5">
        <v>2554</v>
      </c>
      <c r="B128" s="5">
        <v>34</v>
      </c>
      <c r="C128" s="6"/>
      <c r="D128" s="6"/>
      <c r="E128" s="6"/>
      <c r="F128" s="6"/>
      <c r="G128" s="28">
        <v>25</v>
      </c>
      <c r="H128" s="6">
        <v>0</v>
      </c>
      <c r="I128" s="9">
        <v>0</v>
      </c>
      <c r="J128" s="9">
        <v>0</v>
      </c>
      <c r="K128" s="9">
        <v>25</v>
      </c>
      <c r="L128" s="21">
        <f t="shared" ref="L128:L130" si="21">K128*100/B128</f>
        <v>73.529411764705884</v>
      </c>
    </row>
    <row r="129" spans="1:12" ht="19.5" customHeight="1" x14ac:dyDescent="0.35">
      <c r="A129" s="5">
        <v>2555</v>
      </c>
      <c r="B129" s="5">
        <v>46</v>
      </c>
      <c r="C129" s="6"/>
      <c r="D129" s="6"/>
      <c r="E129" s="6"/>
      <c r="F129" s="6"/>
      <c r="G129" s="6"/>
      <c r="H129" s="28">
        <v>32</v>
      </c>
      <c r="I129" s="9">
        <v>3</v>
      </c>
      <c r="J129" s="9">
        <v>1</v>
      </c>
      <c r="K129" s="9">
        <v>32</v>
      </c>
      <c r="L129" s="21">
        <f t="shared" si="21"/>
        <v>69.565217391304344</v>
      </c>
    </row>
    <row r="130" spans="1:12" ht="19.5" customHeight="1" x14ac:dyDescent="0.35">
      <c r="A130" s="5">
        <v>2556</v>
      </c>
      <c r="B130" s="5">
        <f>30+32</f>
        <v>62</v>
      </c>
      <c r="C130" s="6"/>
      <c r="D130" s="6"/>
      <c r="E130" s="6"/>
      <c r="F130" s="6"/>
      <c r="G130" s="6"/>
      <c r="H130" s="6"/>
      <c r="I130" s="29">
        <v>42</v>
      </c>
      <c r="J130" s="29">
        <v>2</v>
      </c>
      <c r="K130" s="9">
        <v>42</v>
      </c>
      <c r="L130" s="21">
        <f t="shared" si="21"/>
        <v>67.741935483870961</v>
      </c>
    </row>
    <row r="131" spans="1:12" ht="19.5" customHeight="1" x14ac:dyDescent="0.35">
      <c r="A131" s="5">
        <v>2557</v>
      </c>
      <c r="B131" s="5">
        <v>51</v>
      </c>
      <c r="C131" s="6"/>
      <c r="D131" s="6"/>
      <c r="E131" s="6"/>
      <c r="F131" s="6"/>
      <c r="G131" s="6"/>
      <c r="H131" s="6"/>
      <c r="I131" s="9"/>
      <c r="J131" s="9"/>
      <c r="K131" s="9"/>
      <c r="L131" s="21"/>
    </row>
    <row r="132" spans="1:12" ht="19.5" customHeight="1" x14ac:dyDescent="0.35">
      <c r="A132" s="5">
        <v>2558</v>
      </c>
      <c r="B132" s="5">
        <f>24+23</f>
        <v>47</v>
      </c>
      <c r="C132" s="6"/>
      <c r="D132" s="6"/>
      <c r="E132" s="6"/>
      <c r="F132" s="6"/>
      <c r="G132" s="6"/>
      <c r="H132" s="6"/>
      <c r="I132" s="9"/>
      <c r="J132" s="9"/>
      <c r="K132" s="9"/>
      <c r="L132" s="21"/>
    </row>
    <row r="133" spans="1:12" ht="19.5" customHeight="1" x14ac:dyDescent="0.35">
      <c r="A133" s="5">
        <v>2559</v>
      </c>
      <c r="B133" s="5">
        <v>27</v>
      </c>
      <c r="C133" s="6"/>
      <c r="D133" s="6"/>
      <c r="E133" s="6"/>
      <c r="F133" s="6"/>
      <c r="G133" s="6"/>
      <c r="H133" s="6"/>
      <c r="I133" s="9"/>
      <c r="J133" s="9"/>
      <c r="K133" s="9"/>
      <c r="L133" s="21"/>
    </row>
    <row r="134" spans="1:12" ht="19.5" customHeight="1" x14ac:dyDescent="0.35">
      <c r="A134" s="5">
        <v>2560</v>
      </c>
      <c r="B134" s="5">
        <v>39</v>
      </c>
      <c r="C134" s="6"/>
      <c r="D134" s="6"/>
      <c r="E134" s="6"/>
      <c r="F134" s="6"/>
      <c r="G134" s="6"/>
      <c r="H134" s="6"/>
      <c r="I134" s="9"/>
      <c r="J134" s="9"/>
      <c r="K134" s="9"/>
      <c r="L134" s="21"/>
    </row>
    <row r="135" spans="1:12" ht="19.5" customHeight="1" x14ac:dyDescent="0.35">
      <c r="A135" s="19" t="s">
        <v>0</v>
      </c>
      <c r="B135" s="19">
        <f>SUM(B127:B134)</f>
        <v>328</v>
      </c>
      <c r="C135" s="19"/>
      <c r="D135" s="19"/>
      <c r="E135" s="19"/>
      <c r="F135" s="19">
        <f>SUM(F127:F134)</f>
        <v>11</v>
      </c>
      <c r="G135" s="19">
        <f t="shared" ref="G135:K135" si="22">SUM(G127:G134)</f>
        <v>27</v>
      </c>
      <c r="H135" s="19">
        <f t="shared" si="22"/>
        <v>32</v>
      </c>
      <c r="I135" s="19">
        <f t="shared" si="22"/>
        <v>45</v>
      </c>
      <c r="J135" s="19">
        <f t="shared" si="22"/>
        <v>3</v>
      </c>
      <c r="K135" s="19">
        <f t="shared" si="22"/>
        <v>110</v>
      </c>
      <c r="L135" s="23"/>
    </row>
    <row r="136" spans="1:12" s="4" customFormat="1" ht="12.75" customHeight="1" x14ac:dyDescent="0.4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</row>
    <row r="137" spans="1:12" ht="23.25" x14ac:dyDescent="0.35">
      <c r="A137" s="48" t="s">
        <v>8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 ht="23.25" customHeight="1" x14ac:dyDescent="0.35">
      <c r="A138" s="8" t="s">
        <v>18</v>
      </c>
      <c r="B138" s="3"/>
      <c r="C138" s="3"/>
      <c r="D138" s="3"/>
      <c r="E138" s="3"/>
      <c r="F138" s="3"/>
      <c r="G138" s="3"/>
      <c r="H138" s="3"/>
      <c r="I138" s="3"/>
      <c r="J138" s="14"/>
      <c r="K138" s="14"/>
      <c r="L138" s="14"/>
    </row>
    <row r="139" spans="1:12" ht="24" customHeight="1" x14ac:dyDescent="0.35">
      <c r="A139" s="45" t="s">
        <v>15</v>
      </c>
      <c r="B139" s="45" t="s">
        <v>1</v>
      </c>
      <c r="C139" s="49" t="s">
        <v>17</v>
      </c>
      <c r="D139" s="50"/>
      <c r="E139" s="50"/>
      <c r="F139" s="50"/>
      <c r="G139" s="50"/>
      <c r="H139" s="50"/>
      <c r="I139" s="50"/>
      <c r="J139" s="51"/>
      <c r="K139" s="52" t="s">
        <v>28</v>
      </c>
      <c r="L139" s="54" t="s">
        <v>29</v>
      </c>
    </row>
    <row r="140" spans="1:12" ht="41.1" customHeight="1" x14ac:dyDescent="0.35">
      <c r="A140" s="46"/>
      <c r="B140" s="45"/>
      <c r="C140" s="40">
        <v>2553</v>
      </c>
      <c r="D140" s="40">
        <v>2554</v>
      </c>
      <c r="E140" s="41">
        <v>2555</v>
      </c>
      <c r="F140" s="41">
        <v>2556</v>
      </c>
      <c r="G140" s="41">
        <v>2557</v>
      </c>
      <c r="H140" s="41">
        <v>2558</v>
      </c>
      <c r="I140" s="41">
        <v>2559</v>
      </c>
      <c r="J140" s="34">
        <v>2560</v>
      </c>
      <c r="K140" s="53"/>
      <c r="L140" s="55"/>
    </row>
    <row r="141" spans="1:12" ht="19.5" customHeight="1" x14ac:dyDescent="0.35">
      <c r="A141" s="5">
        <v>2553</v>
      </c>
      <c r="B141" s="5">
        <f>27+30</f>
        <v>57</v>
      </c>
      <c r="C141" s="6">
        <v>52</v>
      </c>
      <c r="D141" s="6">
        <v>48</v>
      </c>
      <c r="E141" s="6">
        <v>44</v>
      </c>
      <c r="F141" s="28">
        <f>B141-K141</f>
        <v>44</v>
      </c>
      <c r="G141" s="6">
        <v>12</v>
      </c>
      <c r="H141" s="6">
        <v>12</v>
      </c>
      <c r="I141" s="9">
        <v>11</v>
      </c>
      <c r="J141" s="9">
        <v>0</v>
      </c>
      <c r="K141" s="9">
        <v>13</v>
      </c>
      <c r="L141" s="21">
        <f>F141/B141*100</f>
        <v>77.192982456140342</v>
      </c>
    </row>
    <row r="142" spans="1:12" ht="19.5" customHeight="1" x14ac:dyDescent="0.35">
      <c r="A142" s="5">
        <v>2554</v>
      </c>
      <c r="B142" s="5">
        <f>36+29</f>
        <v>65</v>
      </c>
      <c r="C142" s="6"/>
      <c r="D142" s="6">
        <f>25+21</f>
        <v>46</v>
      </c>
      <c r="E142" s="6">
        <f>24+20</f>
        <v>44</v>
      </c>
      <c r="F142" s="6">
        <f>20+17</f>
        <v>37</v>
      </c>
      <c r="G142" s="28">
        <f>B142-K142</f>
        <v>36</v>
      </c>
      <c r="H142" s="6">
        <v>20</v>
      </c>
      <c r="I142" s="9">
        <v>0</v>
      </c>
      <c r="J142" s="9">
        <v>0</v>
      </c>
      <c r="K142" s="9">
        <f>19+10</f>
        <v>29</v>
      </c>
      <c r="L142" s="21">
        <f>G142/B142*100</f>
        <v>55.384615384615387</v>
      </c>
    </row>
    <row r="143" spans="1:12" ht="19.5" customHeight="1" x14ac:dyDescent="0.35">
      <c r="A143" s="5">
        <v>2555</v>
      </c>
      <c r="B143" s="5">
        <f>51+23</f>
        <v>74</v>
      </c>
      <c r="C143" s="6"/>
      <c r="D143" s="6"/>
      <c r="E143" s="6">
        <f>43+23</f>
        <v>66</v>
      </c>
      <c r="F143" s="6">
        <f>40+12</f>
        <v>52</v>
      </c>
      <c r="G143" s="6">
        <f>36+11</f>
        <v>47</v>
      </c>
      <c r="H143" s="28">
        <f>B143-K143</f>
        <v>44</v>
      </c>
      <c r="I143" s="9">
        <f>3+1</f>
        <v>4</v>
      </c>
      <c r="J143" s="9">
        <v>0</v>
      </c>
      <c r="K143" s="9">
        <f>17+13</f>
        <v>30</v>
      </c>
      <c r="L143" s="21">
        <f>H143/B143*100</f>
        <v>59.45945945945946</v>
      </c>
    </row>
    <row r="144" spans="1:12" ht="19.5" customHeight="1" x14ac:dyDescent="0.35">
      <c r="A144" s="5">
        <v>2556</v>
      </c>
      <c r="B144" s="5">
        <f>54+63</f>
        <v>117</v>
      </c>
      <c r="C144" s="6"/>
      <c r="D144" s="6"/>
      <c r="E144" s="6"/>
      <c r="F144" s="6">
        <f>42+49</f>
        <v>91</v>
      </c>
      <c r="G144" s="6">
        <f>35+36</f>
        <v>71</v>
      </c>
      <c r="H144" s="6">
        <f>34+33</f>
        <v>67</v>
      </c>
      <c r="I144" s="29">
        <f>B144-K144</f>
        <v>66</v>
      </c>
      <c r="J144" s="12">
        <v>29</v>
      </c>
      <c r="K144" s="9">
        <v>51</v>
      </c>
      <c r="L144" s="21">
        <f>I144/B144*100</f>
        <v>56.410256410256409</v>
      </c>
    </row>
    <row r="145" spans="1:12" ht="19.5" customHeight="1" x14ac:dyDescent="0.35">
      <c r="A145" s="5">
        <v>2557</v>
      </c>
      <c r="B145" s="5">
        <f>43+34+43</f>
        <v>120</v>
      </c>
      <c r="C145" s="6"/>
      <c r="D145" s="6"/>
      <c r="E145" s="6"/>
      <c r="F145" s="6"/>
      <c r="G145" s="6">
        <f>61+43</f>
        <v>104</v>
      </c>
      <c r="H145" s="6">
        <f>55+27</f>
        <v>82</v>
      </c>
      <c r="I145" s="12">
        <f t="shared" ref="I145:I147" si="23">B145-K145</f>
        <v>77</v>
      </c>
      <c r="J145" s="29">
        <v>77</v>
      </c>
      <c r="K145" s="9">
        <v>43</v>
      </c>
      <c r="L145" s="21">
        <f>J145/B145*100</f>
        <v>64.166666666666671</v>
      </c>
    </row>
    <row r="146" spans="1:12" ht="19.5" customHeight="1" x14ac:dyDescent="0.35">
      <c r="A146" s="5">
        <v>2558</v>
      </c>
      <c r="B146" s="5">
        <f>29+26</f>
        <v>55</v>
      </c>
      <c r="C146" s="6"/>
      <c r="D146" s="6"/>
      <c r="E146" s="6"/>
      <c r="F146" s="6"/>
      <c r="G146" s="6"/>
      <c r="H146" s="6">
        <v>49</v>
      </c>
      <c r="I146" s="12">
        <f t="shared" si="23"/>
        <v>43</v>
      </c>
      <c r="J146" s="29">
        <v>43</v>
      </c>
      <c r="K146" s="9">
        <v>12</v>
      </c>
      <c r="L146" s="21">
        <f t="shared" ref="L146:L148" si="24">J146/B146*100</f>
        <v>78.181818181818187</v>
      </c>
    </row>
    <row r="147" spans="1:12" ht="19.5" customHeight="1" x14ac:dyDescent="0.35">
      <c r="A147" s="5">
        <v>2559</v>
      </c>
      <c r="B147" s="5">
        <f>35+13</f>
        <v>48</v>
      </c>
      <c r="C147" s="6"/>
      <c r="D147" s="6"/>
      <c r="E147" s="6"/>
      <c r="F147" s="6"/>
      <c r="G147" s="6"/>
      <c r="H147" s="6"/>
      <c r="I147" s="12">
        <f t="shared" si="23"/>
        <v>35</v>
      </c>
      <c r="J147" s="29">
        <v>35</v>
      </c>
      <c r="K147" s="9">
        <v>13</v>
      </c>
      <c r="L147" s="21">
        <f t="shared" si="24"/>
        <v>72.916666666666657</v>
      </c>
    </row>
    <row r="148" spans="1:12" ht="19.5" customHeight="1" x14ac:dyDescent="0.35">
      <c r="A148" s="5">
        <v>2560</v>
      </c>
      <c r="B148" s="5">
        <v>56</v>
      </c>
      <c r="C148" s="6"/>
      <c r="D148" s="6"/>
      <c r="E148" s="6"/>
      <c r="F148" s="6"/>
      <c r="G148" s="6"/>
      <c r="H148" s="6"/>
      <c r="I148" s="12"/>
      <c r="J148" s="29">
        <v>56</v>
      </c>
      <c r="K148" s="9">
        <v>0</v>
      </c>
      <c r="L148" s="21">
        <f t="shared" si="24"/>
        <v>100</v>
      </c>
    </row>
    <row r="149" spans="1:12" ht="19.5" customHeight="1" x14ac:dyDescent="0.35">
      <c r="A149" s="7" t="s">
        <v>0</v>
      </c>
      <c r="B149" s="7">
        <f>SUM(B141:B148)</f>
        <v>592</v>
      </c>
      <c r="C149" s="7">
        <f t="shared" ref="C149:K149" si="25">SUM(C141:C148)</f>
        <v>52</v>
      </c>
      <c r="D149" s="7">
        <f t="shared" si="25"/>
        <v>94</v>
      </c>
      <c r="E149" s="7">
        <f t="shared" si="25"/>
        <v>154</v>
      </c>
      <c r="F149" s="7">
        <f t="shared" si="25"/>
        <v>224</v>
      </c>
      <c r="G149" s="7">
        <f t="shared" si="25"/>
        <v>270</v>
      </c>
      <c r="H149" s="7">
        <f t="shared" si="25"/>
        <v>274</v>
      </c>
      <c r="I149" s="7">
        <f t="shared" si="25"/>
        <v>236</v>
      </c>
      <c r="J149" s="7">
        <f t="shared" si="25"/>
        <v>240</v>
      </c>
      <c r="K149" s="7">
        <f t="shared" si="25"/>
        <v>191</v>
      </c>
      <c r="L149" s="22"/>
    </row>
    <row r="150" spans="1:12" s="4" customFormat="1" ht="21.75" customHeight="1" x14ac:dyDescent="0.4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</row>
    <row r="151" spans="1:12" ht="23.25" customHeight="1" x14ac:dyDescent="0.35">
      <c r="A151" s="8" t="s">
        <v>19</v>
      </c>
      <c r="B151" s="3"/>
      <c r="C151" s="3"/>
      <c r="D151" s="3"/>
      <c r="E151" s="3"/>
      <c r="F151" s="3"/>
      <c r="G151" s="3"/>
      <c r="H151" s="3"/>
      <c r="I151" s="3"/>
      <c r="J151" s="14"/>
      <c r="K151" s="14"/>
      <c r="L151" s="14"/>
    </row>
    <row r="152" spans="1:12" ht="24" customHeight="1" x14ac:dyDescent="0.35">
      <c r="A152" s="60" t="s">
        <v>15</v>
      </c>
      <c r="B152" s="60" t="s">
        <v>1</v>
      </c>
      <c r="C152" s="62" t="s">
        <v>20</v>
      </c>
      <c r="D152" s="63"/>
      <c r="E152" s="63"/>
      <c r="F152" s="63"/>
      <c r="G152" s="63"/>
      <c r="H152" s="63"/>
      <c r="I152" s="63"/>
      <c r="J152" s="64"/>
      <c r="K152" s="56" t="s">
        <v>21</v>
      </c>
      <c r="L152" s="58" t="s">
        <v>23</v>
      </c>
    </row>
    <row r="153" spans="1:12" ht="41.1" customHeight="1" x14ac:dyDescent="0.35">
      <c r="A153" s="61"/>
      <c r="B153" s="60"/>
      <c r="C153" s="42">
        <v>2553</v>
      </c>
      <c r="D153" s="42">
        <v>2554</v>
      </c>
      <c r="E153" s="43">
        <v>2555</v>
      </c>
      <c r="F153" s="43">
        <v>2556</v>
      </c>
      <c r="G153" s="43">
        <v>2557</v>
      </c>
      <c r="H153" s="43">
        <v>2558</v>
      </c>
      <c r="I153" s="43">
        <v>2559</v>
      </c>
      <c r="J153" s="35">
        <v>2560</v>
      </c>
      <c r="K153" s="57"/>
      <c r="L153" s="59"/>
    </row>
    <row r="154" spans="1:12" ht="19.5" customHeight="1" x14ac:dyDescent="0.35">
      <c r="A154" s="5">
        <v>2553</v>
      </c>
      <c r="B154" s="5">
        <f>27+30</f>
        <v>57</v>
      </c>
      <c r="C154" s="6"/>
      <c r="D154" s="6"/>
      <c r="E154" s="6"/>
      <c r="F154" s="28">
        <v>32</v>
      </c>
      <c r="G154" s="6">
        <v>10</v>
      </c>
      <c r="H154" s="6">
        <v>0</v>
      </c>
      <c r="I154" s="9">
        <v>1</v>
      </c>
      <c r="J154" s="9">
        <v>0</v>
      </c>
      <c r="K154" s="9">
        <v>32</v>
      </c>
      <c r="L154" s="21">
        <f>K154*100/B154</f>
        <v>56.140350877192979</v>
      </c>
    </row>
    <row r="155" spans="1:12" ht="19.5" customHeight="1" x14ac:dyDescent="0.35">
      <c r="A155" s="5">
        <v>2554</v>
      </c>
      <c r="B155" s="5">
        <f>36+29</f>
        <v>65</v>
      </c>
      <c r="C155" s="6"/>
      <c r="D155" s="6"/>
      <c r="E155" s="6"/>
      <c r="F155" s="6"/>
      <c r="G155" s="28">
        <f>15+1</f>
        <v>16</v>
      </c>
      <c r="H155" s="6">
        <f>1+17</f>
        <v>18</v>
      </c>
      <c r="I155" s="9">
        <f>1+1</f>
        <v>2</v>
      </c>
      <c r="J155" s="9">
        <v>0</v>
      </c>
      <c r="K155" s="9">
        <f>15+1</f>
        <v>16</v>
      </c>
      <c r="L155" s="21">
        <f t="shared" ref="L155:L157" si="26">K155*100/B155</f>
        <v>24.615384615384617</v>
      </c>
    </row>
    <row r="156" spans="1:12" ht="19.5" customHeight="1" x14ac:dyDescent="0.35">
      <c r="A156" s="5">
        <v>2555</v>
      </c>
      <c r="B156" s="5">
        <f>51+23</f>
        <v>74</v>
      </c>
      <c r="C156" s="6"/>
      <c r="D156" s="6"/>
      <c r="E156" s="6"/>
      <c r="F156" s="6"/>
      <c r="G156" s="6"/>
      <c r="H156" s="28">
        <v>24</v>
      </c>
      <c r="I156" s="9">
        <f>7+9</f>
        <v>16</v>
      </c>
      <c r="J156" s="9">
        <v>2</v>
      </c>
      <c r="K156" s="9">
        <v>24</v>
      </c>
      <c r="L156" s="21">
        <f t="shared" si="26"/>
        <v>32.432432432432435</v>
      </c>
    </row>
    <row r="157" spans="1:12" ht="19.5" customHeight="1" x14ac:dyDescent="0.35">
      <c r="A157" s="5">
        <v>2556</v>
      </c>
      <c r="B157" s="5">
        <f>54+63</f>
        <v>117</v>
      </c>
      <c r="C157" s="6"/>
      <c r="D157" s="6"/>
      <c r="E157" s="6"/>
      <c r="F157" s="6"/>
      <c r="G157" s="6"/>
      <c r="H157" s="6"/>
      <c r="I157" s="29">
        <f>27+1</f>
        <v>28</v>
      </c>
      <c r="J157" s="29">
        <v>9</v>
      </c>
      <c r="K157" s="9">
        <f>27+1</f>
        <v>28</v>
      </c>
      <c r="L157" s="21">
        <f t="shared" si="26"/>
        <v>23.931623931623932</v>
      </c>
    </row>
    <row r="158" spans="1:12" ht="19.5" customHeight="1" x14ac:dyDescent="0.35">
      <c r="A158" s="5">
        <v>2557</v>
      </c>
      <c r="B158" s="5">
        <f>43+34+43</f>
        <v>120</v>
      </c>
      <c r="C158" s="6"/>
      <c r="D158" s="6"/>
      <c r="E158" s="6"/>
      <c r="F158" s="6"/>
      <c r="G158" s="6"/>
      <c r="H158" s="6"/>
      <c r="I158" s="9"/>
      <c r="J158" s="9"/>
      <c r="K158" s="9"/>
      <c r="L158" s="21"/>
    </row>
    <row r="159" spans="1:12" ht="19.5" customHeight="1" x14ac:dyDescent="0.35">
      <c r="A159" s="5">
        <v>2558</v>
      </c>
      <c r="B159" s="5">
        <f>29+26</f>
        <v>55</v>
      </c>
      <c r="C159" s="6"/>
      <c r="D159" s="6"/>
      <c r="E159" s="6"/>
      <c r="F159" s="6"/>
      <c r="G159" s="6"/>
      <c r="H159" s="6"/>
      <c r="I159" s="9"/>
      <c r="J159" s="9"/>
      <c r="K159" s="9"/>
      <c r="L159" s="21"/>
    </row>
    <row r="160" spans="1:12" ht="19.5" customHeight="1" x14ac:dyDescent="0.35">
      <c r="A160" s="5">
        <v>2559</v>
      </c>
      <c r="B160" s="5">
        <f>35+13</f>
        <v>48</v>
      </c>
      <c r="C160" s="6"/>
      <c r="D160" s="6"/>
      <c r="E160" s="6"/>
      <c r="F160" s="6"/>
      <c r="G160" s="6"/>
      <c r="H160" s="6"/>
      <c r="I160" s="9"/>
      <c r="J160" s="9"/>
      <c r="K160" s="9"/>
      <c r="L160" s="21"/>
    </row>
    <row r="161" spans="1:12" ht="19.5" customHeight="1" x14ac:dyDescent="0.35">
      <c r="A161" s="5">
        <v>2560</v>
      </c>
      <c r="B161" s="5">
        <v>56</v>
      </c>
      <c r="C161" s="6"/>
      <c r="D161" s="6"/>
      <c r="E161" s="6"/>
      <c r="F161" s="6"/>
      <c r="G161" s="6"/>
      <c r="H161" s="6"/>
      <c r="I161" s="9"/>
      <c r="J161" s="9"/>
      <c r="K161" s="9"/>
      <c r="L161" s="21"/>
    </row>
    <row r="162" spans="1:12" ht="19.5" customHeight="1" x14ac:dyDescent="0.35">
      <c r="A162" s="19" t="s">
        <v>0</v>
      </c>
      <c r="B162" s="19">
        <f>SUM(B154:B161)</f>
        <v>592</v>
      </c>
      <c r="C162" s="19"/>
      <c r="D162" s="19"/>
      <c r="E162" s="19"/>
      <c r="F162" s="19">
        <f>SUM(F154:F161)</f>
        <v>32</v>
      </c>
      <c r="G162" s="19">
        <f t="shared" ref="G162:K162" si="27">SUM(G154:G161)</f>
        <v>26</v>
      </c>
      <c r="H162" s="19">
        <f t="shared" si="27"/>
        <v>42</v>
      </c>
      <c r="I162" s="19">
        <f t="shared" si="27"/>
        <v>47</v>
      </c>
      <c r="J162" s="19">
        <f t="shared" si="27"/>
        <v>11</v>
      </c>
      <c r="K162" s="19">
        <f t="shared" si="27"/>
        <v>100</v>
      </c>
      <c r="L162" s="23"/>
    </row>
    <row r="163" spans="1:12" s="4" customFormat="1" ht="12.75" customHeight="1" x14ac:dyDescent="0.4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</row>
    <row r="164" spans="1:12" ht="23.25" x14ac:dyDescent="0.35">
      <c r="A164" s="48" t="s">
        <v>7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 ht="23.25" customHeight="1" x14ac:dyDescent="0.35">
      <c r="A165" s="8" t="s">
        <v>18</v>
      </c>
      <c r="B165" s="3"/>
      <c r="C165" s="3"/>
      <c r="D165" s="3"/>
      <c r="E165" s="3"/>
      <c r="F165" s="3"/>
      <c r="G165" s="3"/>
      <c r="H165" s="3"/>
      <c r="I165" s="3"/>
      <c r="J165" s="14"/>
      <c r="K165" s="14"/>
      <c r="L165" s="14"/>
    </row>
    <row r="166" spans="1:12" ht="24" customHeight="1" x14ac:dyDescent="0.35">
      <c r="A166" s="45" t="s">
        <v>15</v>
      </c>
      <c r="B166" s="45" t="s">
        <v>1</v>
      </c>
      <c r="C166" s="49" t="s">
        <v>17</v>
      </c>
      <c r="D166" s="50"/>
      <c r="E166" s="50"/>
      <c r="F166" s="50"/>
      <c r="G166" s="50"/>
      <c r="H166" s="50"/>
      <c r="I166" s="50"/>
      <c r="J166" s="51"/>
      <c r="K166" s="52" t="s">
        <v>28</v>
      </c>
      <c r="L166" s="54" t="s">
        <v>29</v>
      </c>
    </row>
    <row r="167" spans="1:12" ht="41.1" customHeight="1" x14ac:dyDescent="0.35">
      <c r="A167" s="46"/>
      <c r="B167" s="45"/>
      <c r="C167" s="40">
        <v>2553</v>
      </c>
      <c r="D167" s="40">
        <v>2554</v>
      </c>
      <c r="E167" s="41">
        <v>2555</v>
      </c>
      <c r="F167" s="41">
        <v>2556</v>
      </c>
      <c r="G167" s="41">
        <v>2557</v>
      </c>
      <c r="H167" s="41">
        <v>2558</v>
      </c>
      <c r="I167" s="41">
        <v>2559</v>
      </c>
      <c r="J167" s="34">
        <v>2560</v>
      </c>
      <c r="K167" s="53"/>
      <c r="L167" s="55"/>
    </row>
    <row r="168" spans="1:12" ht="19.5" customHeight="1" x14ac:dyDescent="0.35">
      <c r="A168" s="5">
        <v>2553</v>
      </c>
      <c r="B168" s="5">
        <f>33+35</f>
        <v>68</v>
      </c>
      <c r="C168" s="6">
        <f>29+27</f>
        <v>56</v>
      </c>
      <c r="D168" s="6">
        <f>24+20</f>
        <v>44</v>
      </c>
      <c r="E168" s="6">
        <f>23+22</f>
        <v>45</v>
      </c>
      <c r="F168" s="28">
        <v>47</v>
      </c>
      <c r="G168" s="6">
        <f>1+1</f>
        <v>2</v>
      </c>
      <c r="H168" s="6">
        <v>0</v>
      </c>
      <c r="I168" s="9">
        <v>0</v>
      </c>
      <c r="J168" s="9">
        <v>0</v>
      </c>
      <c r="K168" s="9">
        <v>21</v>
      </c>
      <c r="L168" s="21">
        <f>F168*100/B168</f>
        <v>69.117647058823536</v>
      </c>
    </row>
    <row r="169" spans="1:12" ht="19.5" customHeight="1" x14ac:dyDescent="0.35">
      <c r="A169" s="5">
        <v>2554</v>
      </c>
      <c r="B169" s="5">
        <f>43+18</f>
        <v>61</v>
      </c>
      <c r="C169" s="6"/>
      <c r="D169" s="6">
        <f>35+18</f>
        <v>53</v>
      </c>
      <c r="E169" s="6">
        <f>31+12</f>
        <v>43</v>
      </c>
      <c r="F169" s="6">
        <f>31+11</f>
        <v>42</v>
      </c>
      <c r="G169" s="28">
        <f>26+8</f>
        <v>34</v>
      </c>
      <c r="H169" s="6">
        <v>5</v>
      </c>
      <c r="I169" s="9">
        <v>1</v>
      </c>
      <c r="J169" s="9">
        <v>1</v>
      </c>
      <c r="K169" s="9">
        <f>12+5</f>
        <v>17</v>
      </c>
      <c r="L169" s="21">
        <f>G169*100/B169</f>
        <v>55.73770491803279</v>
      </c>
    </row>
    <row r="170" spans="1:12" ht="19.5" customHeight="1" x14ac:dyDescent="0.35">
      <c r="A170" s="5">
        <v>2555</v>
      </c>
      <c r="B170" s="5">
        <v>46</v>
      </c>
      <c r="C170" s="6"/>
      <c r="D170" s="6"/>
      <c r="E170" s="6">
        <v>42</v>
      </c>
      <c r="F170" s="6">
        <v>33</v>
      </c>
      <c r="G170" s="6">
        <v>30</v>
      </c>
      <c r="H170" s="28">
        <v>28</v>
      </c>
      <c r="I170" s="9">
        <v>3</v>
      </c>
      <c r="J170" s="9">
        <v>0</v>
      </c>
      <c r="K170" s="9">
        <v>18</v>
      </c>
      <c r="L170" s="21">
        <f>H170*100/B170</f>
        <v>60.869565217391305</v>
      </c>
    </row>
    <row r="171" spans="1:12" ht="19.5" customHeight="1" x14ac:dyDescent="0.35">
      <c r="A171" s="5">
        <v>2556</v>
      </c>
      <c r="B171" s="5">
        <f>32+29</f>
        <v>61</v>
      </c>
      <c r="C171" s="6"/>
      <c r="D171" s="6"/>
      <c r="E171" s="6"/>
      <c r="F171" s="6">
        <v>53</v>
      </c>
      <c r="G171" s="6">
        <v>45</v>
      </c>
      <c r="H171" s="6">
        <v>44</v>
      </c>
      <c r="I171" s="29">
        <v>43</v>
      </c>
      <c r="J171" s="12">
        <v>1</v>
      </c>
      <c r="K171" s="9">
        <v>19</v>
      </c>
      <c r="L171" s="21">
        <f>I171*100/B171</f>
        <v>70.491803278688522</v>
      </c>
    </row>
    <row r="172" spans="1:12" ht="19.5" customHeight="1" x14ac:dyDescent="0.35">
      <c r="A172" s="5">
        <v>2557</v>
      </c>
      <c r="B172" s="5">
        <f>33+24</f>
        <v>57</v>
      </c>
      <c r="C172" s="6"/>
      <c r="D172" s="6"/>
      <c r="E172" s="6"/>
      <c r="F172" s="6"/>
      <c r="G172" s="6">
        <v>46</v>
      </c>
      <c r="H172" s="6">
        <v>34</v>
      </c>
      <c r="I172" s="12">
        <v>34</v>
      </c>
      <c r="J172" s="29">
        <v>34</v>
      </c>
      <c r="K172" s="9">
        <v>23</v>
      </c>
      <c r="L172" s="21">
        <f>J172*100/B172</f>
        <v>59.649122807017541</v>
      </c>
    </row>
    <row r="173" spans="1:12" ht="19.5" customHeight="1" x14ac:dyDescent="0.35">
      <c r="A173" s="5">
        <v>2558</v>
      </c>
      <c r="B173" s="5">
        <v>40</v>
      </c>
      <c r="C173" s="6"/>
      <c r="D173" s="6"/>
      <c r="E173" s="6"/>
      <c r="F173" s="6"/>
      <c r="G173" s="6"/>
      <c r="H173" s="6">
        <v>34</v>
      </c>
      <c r="I173" s="12">
        <v>33</v>
      </c>
      <c r="J173" s="29">
        <v>33</v>
      </c>
      <c r="K173" s="9">
        <v>7</v>
      </c>
      <c r="L173" s="21">
        <f t="shared" ref="L173:L175" si="28">J173*100/B173</f>
        <v>82.5</v>
      </c>
    </row>
    <row r="174" spans="1:12" ht="19.5" customHeight="1" x14ac:dyDescent="0.35">
      <c r="A174" s="5">
        <v>2559</v>
      </c>
      <c r="B174" s="5">
        <f>24+16</f>
        <v>40</v>
      </c>
      <c r="C174" s="6"/>
      <c r="D174" s="6"/>
      <c r="E174" s="6"/>
      <c r="F174" s="6"/>
      <c r="G174" s="6"/>
      <c r="H174" s="6"/>
      <c r="I174" s="12">
        <v>18</v>
      </c>
      <c r="J174" s="29">
        <v>32</v>
      </c>
      <c r="K174" s="9">
        <v>8</v>
      </c>
      <c r="L174" s="21">
        <f t="shared" si="28"/>
        <v>80</v>
      </c>
    </row>
    <row r="175" spans="1:12" ht="19.5" customHeight="1" x14ac:dyDescent="0.35">
      <c r="A175" s="5">
        <v>2560</v>
      </c>
      <c r="B175" s="5">
        <v>78</v>
      </c>
      <c r="C175" s="6"/>
      <c r="D175" s="6"/>
      <c r="E175" s="6"/>
      <c r="F175" s="6"/>
      <c r="G175" s="6"/>
      <c r="H175" s="6"/>
      <c r="I175" s="12"/>
      <c r="J175" s="29">
        <v>78</v>
      </c>
      <c r="K175" s="9">
        <v>0</v>
      </c>
      <c r="L175" s="21">
        <f t="shared" si="28"/>
        <v>100</v>
      </c>
    </row>
    <row r="176" spans="1:12" ht="19.5" customHeight="1" x14ac:dyDescent="0.35">
      <c r="A176" s="7" t="s">
        <v>0</v>
      </c>
      <c r="B176" s="7">
        <f>SUM(B168:B175)</f>
        <v>451</v>
      </c>
      <c r="C176" s="7">
        <f t="shared" ref="C176:K176" si="29">SUM(C168:C175)</f>
        <v>56</v>
      </c>
      <c r="D176" s="7">
        <f t="shared" si="29"/>
        <v>97</v>
      </c>
      <c r="E176" s="7">
        <f t="shared" si="29"/>
        <v>130</v>
      </c>
      <c r="F176" s="7">
        <f t="shared" si="29"/>
        <v>175</v>
      </c>
      <c r="G176" s="7">
        <f t="shared" si="29"/>
        <v>157</v>
      </c>
      <c r="H176" s="7">
        <f t="shared" si="29"/>
        <v>145</v>
      </c>
      <c r="I176" s="7">
        <f t="shared" si="29"/>
        <v>132</v>
      </c>
      <c r="J176" s="7">
        <f t="shared" si="29"/>
        <v>179</v>
      </c>
      <c r="K176" s="7">
        <f t="shared" si="29"/>
        <v>113</v>
      </c>
      <c r="L176" s="22"/>
    </row>
    <row r="177" spans="1:12" s="4" customFormat="1" ht="18.75" customHeight="1" x14ac:dyDescent="0.4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</row>
    <row r="178" spans="1:12" ht="23.25" customHeight="1" x14ac:dyDescent="0.35">
      <c r="A178" s="8" t="s">
        <v>19</v>
      </c>
      <c r="B178" s="3"/>
      <c r="C178" s="3"/>
      <c r="D178" s="3"/>
      <c r="E178" s="3"/>
      <c r="F178" s="3"/>
      <c r="G178" s="3"/>
      <c r="H178" s="3"/>
      <c r="I178" s="3"/>
      <c r="J178" s="14"/>
      <c r="K178" s="14"/>
      <c r="L178" s="14"/>
    </row>
    <row r="179" spans="1:12" ht="24" customHeight="1" x14ac:dyDescent="0.35">
      <c r="A179" s="60" t="s">
        <v>15</v>
      </c>
      <c r="B179" s="60" t="s">
        <v>1</v>
      </c>
      <c r="C179" s="62" t="s">
        <v>20</v>
      </c>
      <c r="D179" s="63"/>
      <c r="E179" s="63"/>
      <c r="F179" s="63"/>
      <c r="G179" s="63"/>
      <c r="H179" s="63"/>
      <c r="I179" s="63"/>
      <c r="J179" s="64"/>
      <c r="K179" s="56" t="s">
        <v>21</v>
      </c>
      <c r="L179" s="58" t="s">
        <v>23</v>
      </c>
    </row>
    <row r="180" spans="1:12" ht="41.1" customHeight="1" x14ac:dyDescent="0.35">
      <c r="A180" s="61"/>
      <c r="B180" s="60"/>
      <c r="C180" s="42">
        <v>2553</v>
      </c>
      <c r="D180" s="42">
        <v>2554</v>
      </c>
      <c r="E180" s="43">
        <v>2555</v>
      </c>
      <c r="F180" s="43">
        <v>2556</v>
      </c>
      <c r="G180" s="43">
        <v>2557</v>
      </c>
      <c r="H180" s="43">
        <v>2558</v>
      </c>
      <c r="I180" s="43">
        <v>2559</v>
      </c>
      <c r="J180" s="35">
        <v>2560</v>
      </c>
      <c r="K180" s="57"/>
      <c r="L180" s="59"/>
    </row>
    <row r="181" spans="1:12" ht="19.5" customHeight="1" x14ac:dyDescent="0.35">
      <c r="A181" s="5">
        <v>2553</v>
      </c>
      <c r="B181" s="5">
        <f>33+35</f>
        <v>68</v>
      </c>
      <c r="C181" s="6"/>
      <c r="D181" s="6"/>
      <c r="E181" s="6"/>
      <c r="F181" s="28">
        <f>19+6</f>
        <v>25</v>
      </c>
      <c r="G181" s="6">
        <f>5+16</f>
        <v>21</v>
      </c>
      <c r="H181" s="6">
        <f>0+1</f>
        <v>1</v>
      </c>
      <c r="I181" s="9">
        <v>0</v>
      </c>
      <c r="J181" s="9">
        <v>0</v>
      </c>
      <c r="K181" s="9">
        <f>19+6</f>
        <v>25</v>
      </c>
      <c r="L181" s="21">
        <f>K181*100/B181</f>
        <v>36.764705882352942</v>
      </c>
    </row>
    <row r="182" spans="1:12" ht="19.5" customHeight="1" x14ac:dyDescent="0.35">
      <c r="A182" s="5">
        <v>2554</v>
      </c>
      <c r="B182" s="5">
        <f>43+18</f>
        <v>61</v>
      </c>
      <c r="C182" s="6"/>
      <c r="D182" s="6"/>
      <c r="E182" s="6"/>
      <c r="F182" s="28">
        <v>3</v>
      </c>
      <c r="G182" s="28">
        <f>18+3</f>
        <v>21</v>
      </c>
      <c r="H182" s="6">
        <f>9+10</f>
        <v>19</v>
      </c>
      <c r="I182" s="9">
        <v>0</v>
      </c>
      <c r="J182" s="9">
        <v>0</v>
      </c>
      <c r="K182" s="9">
        <f>21+3</f>
        <v>24</v>
      </c>
      <c r="L182" s="21">
        <f t="shared" ref="L182:L184" si="30">K182*100/B182</f>
        <v>39.344262295081968</v>
      </c>
    </row>
    <row r="183" spans="1:12" ht="19.5" customHeight="1" x14ac:dyDescent="0.35">
      <c r="A183" s="5">
        <v>2555</v>
      </c>
      <c r="B183" s="5">
        <v>46</v>
      </c>
      <c r="C183" s="6"/>
      <c r="D183" s="6"/>
      <c r="E183" s="6"/>
      <c r="F183" s="6"/>
      <c r="G183" s="28">
        <v>1</v>
      </c>
      <c r="H183" s="28">
        <v>18</v>
      </c>
      <c r="I183" s="9">
        <v>9</v>
      </c>
      <c r="J183" s="9">
        <v>0</v>
      </c>
      <c r="K183" s="9">
        <v>19</v>
      </c>
      <c r="L183" s="21">
        <f t="shared" si="30"/>
        <v>41.304347826086953</v>
      </c>
    </row>
    <row r="184" spans="1:12" ht="19.5" customHeight="1" x14ac:dyDescent="0.35">
      <c r="A184" s="5">
        <v>2556</v>
      </c>
      <c r="B184" s="5">
        <f>32+29</f>
        <v>61</v>
      </c>
      <c r="C184" s="6"/>
      <c r="D184" s="6"/>
      <c r="E184" s="6"/>
      <c r="F184" s="6"/>
      <c r="G184" s="6"/>
      <c r="H184" s="6"/>
      <c r="I184" s="29">
        <v>23</v>
      </c>
      <c r="J184" s="29">
        <v>18</v>
      </c>
      <c r="K184" s="9">
        <v>23</v>
      </c>
      <c r="L184" s="21">
        <f t="shared" si="30"/>
        <v>37.704918032786885</v>
      </c>
    </row>
    <row r="185" spans="1:12" ht="19.5" customHeight="1" x14ac:dyDescent="0.35">
      <c r="A185" s="5">
        <v>2557</v>
      </c>
      <c r="B185" s="5">
        <f>33+24</f>
        <v>57</v>
      </c>
      <c r="C185" s="6"/>
      <c r="D185" s="6"/>
      <c r="E185" s="6"/>
      <c r="F185" s="6"/>
      <c r="G185" s="6"/>
      <c r="H185" s="6"/>
      <c r="I185" s="9"/>
      <c r="J185" s="9"/>
      <c r="K185" s="9"/>
      <c r="L185" s="21"/>
    </row>
    <row r="186" spans="1:12" ht="19.5" customHeight="1" x14ac:dyDescent="0.35">
      <c r="A186" s="5">
        <v>2558</v>
      </c>
      <c r="B186" s="5">
        <v>40</v>
      </c>
      <c r="C186" s="6"/>
      <c r="D186" s="6"/>
      <c r="E186" s="6"/>
      <c r="F186" s="6"/>
      <c r="G186" s="6"/>
      <c r="H186" s="6"/>
      <c r="I186" s="9"/>
      <c r="J186" s="9"/>
      <c r="K186" s="9"/>
      <c r="L186" s="21"/>
    </row>
    <row r="187" spans="1:12" ht="19.5" customHeight="1" x14ac:dyDescent="0.35">
      <c r="A187" s="5">
        <v>2559</v>
      </c>
      <c r="B187" s="5">
        <f>24+16</f>
        <v>40</v>
      </c>
      <c r="C187" s="6"/>
      <c r="D187" s="6"/>
      <c r="E187" s="6"/>
      <c r="F187" s="6"/>
      <c r="G187" s="6"/>
      <c r="H187" s="6"/>
      <c r="I187" s="9"/>
      <c r="J187" s="9"/>
      <c r="K187" s="9"/>
      <c r="L187" s="21"/>
    </row>
    <row r="188" spans="1:12" ht="19.5" customHeight="1" x14ac:dyDescent="0.35">
      <c r="A188" s="5">
        <v>2560</v>
      </c>
      <c r="B188" s="5">
        <v>78</v>
      </c>
      <c r="C188" s="6"/>
      <c r="D188" s="6"/>
      <c r="E188" s="6"/>
      <c r="F188" s="6"/>
      <c r="G188" s="6"/>
      <c r="H188" s="6"/>
      <c r="I188" s="9"/>
      <c r="J188" s="9"/>
      <c r="K188" s="9"/>
      <c r="L188" s="21"/>
    </row>
    <row r="189" spans="1:12" ht="19.5" customHeight="1" x14ac:dyDescent="0.35">
      <c r="A189" s="19" t="s">
        <v>0</v>
      </c>
      <c r="B189" s="19">
        <f>SUM(B181:B188)</f>
        <v>451</v>
      </c>
      <c r="C189" s="19"/>
      <c r="D189" s="19"/>
      <c r="E189" s="19"/>
      <c r="F189" s="19">
        <f>SUM(F181:F188)</f>
        <v>28</v>
      </c>
      <c r="G189" s="19">
        <f t="shared" ref="G189:K189" si="31">SUM(G181:G188)</f>
        <v>43</v>
      </c>
      <c r="H189" s="19">
        <f t="shared" si="31"/>
        <v>38</v>
      </c>
      <c r="I189" s="19">
        <f t="shared" si="31"/>
        <v>32</v>
      </c>
      <c r="J189" s="19">
        <f t="shared" si="31"/>
        <v>18</v>
      </c>
      <c r="K189" s="19">
        <f t="shared" si="31"/>
        <v>91</v>
      </c>
      <c r="L189" s="23"/>
    </row>
    <row r="190" spans="1:12" s="4" customFormat="1" ht="12.75" customHeight="1" x14ac:dyDescent="0.4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</row>
    <row r="191" spans="1:12" ht="23.25" x14ac:dyDescent="0.35">
      <c r="A191" s="48" t="s">
        <v>14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1:12" ht="23.25" customHeight="1" x14ac:dyDescent="0.35">
      <c r="A192" s="8" t="s">
        <v>18</v>
      </c>
      <c r="B192" s="3"/>
      <c r="C192" s="3"/>
      <c r="D192" s="3"/>
      <c r="E192" s="3"/>
      <c r="F192" s="3"/>
      <c r="G192" s="3"/>
      <c r="H192" s="3"/>
      <c r="I192" s="3"/>
      <c r="J192" s="14"/>
      <c r="K192" s="14"/>
      <c r="L192" s="14"/>
    </row>
    <row r="193" spans="1:12" ht="24" customHeight="1" x14ac:dyDescent="0.35">
      <c r="A193" s="45" t="s">
        <v>15</v>
      </c>
      <c r="B193" s="45" t="s">
        <v>1</v>
      </c>
      <c r="C193" s="49" t="s">
        <v>17</v>
      </c>
      <c r="D193" s="50"/>
      <c r="E193" s="50"/>
      <c r="F193" s="50"/>
      <c r="G193" s="50"/>
      <c r="H193" s="50"/>
      <c r="I193" s="50"/>
      <c r="J193" s="51"/>
      <c r="K193" s="52" t="s">
        <v>28</v>
      </c>
      <c r="L193" s="54" t="s">
        <v>29</v>
      </c>
    </row>
    <row r="194" spans="1:12" ht="41.1" customHeight="1" x14ac:dyDescent="0.35">
      <c r="A194" s="46"/>
      <c r="B194" s="45"/>
      <c r="C194" s="40">
        <v>2553</v>
      </c>
      <c r="D194" s="40">
        <v>2554</v>
      </c>
      <c r="E194" s="41">
        <v>2555</v>
      </c>
      <c r="F194" s="41">
        <v>2556</v>
      </c>
      <c r="G194" s="41">
        <v>2557</v>
      </c>
      <c r="H194" s="41">
        <v>2558</v>
      </c>
      <c r="I194" s="41">
        <v>2559</v>
      </c>
      <c r="J194" s="34">
        <v>2560</v>
      </c>
      <c r="K194" s="53"/>
      <c r="L194" s="55"/>
    </row>
    <row r="195" spans="1:12" ht="19.5" customHeight="1" x14ac:dyDescent="0.35">
      <c r="A195" s="5">
        <v>2553</v>
      </c>
      <c r="B195" s="5">
        <v>16</v>
      </c>
      <c r="C195" s="6">
        <v>10</v>
      </c>
      <c r="D195" s="6">
        <v>5</v>
      </c>
      <c r="E195" s="6">
        <v>5</v>
      </c>
      <c r="F195" s="28">
        <v>5</v>
      </c>
      <c r="G195" s="6">
        <v>0</v>
      </c>
      <c r="H195" s="6">
        <v>0</v>
      </c>
      <c r="I195" s="9">
        <v>0</v>
      </c>
      <c r="J195" s="9">
        <v>0</v>
      </c>
      <c r="K195" s="9">
        <v>11</v>
      </c>
      <c r="L195" s="21">
        <f>F195*100/B195</f>
        <v>31.25</v>
      </c>
    </row>
    <row r="196" spans="1:12" ht="19.5" customHeight="1" x14ac:dyDescent="0.35">
      <c r="A196" s="5">
        <v>2554</v>
      </c>
      <c r="B196" s="5">
        <v>34</v>
      </c>
      <c r="C196" s="6"/>
      <c r="D196" s="6">
        <v>25</v>
      </c>
      <c r="E196" s="6">
        <v>19</v>
      </c>
      <c r="F196" s="6">
        <v>16</v>
      </c>
      <c r="G196" s="28">
        <f>B196-K196</f>
        <v>14</v>
      </c>
      <c r="H196" s="6">
        <v>0</v>
      </c>
      <c r="I196" s="9">
        <v>0</v>
      </c>
      <c r="J196" s="9">
        <v>0</v>
      </c>
      <c r="K196" s="9">
        <v>20</v>
      </c>
      <c r="L196" s="21">
        <f>G196*100/B196</f>
        <v>41.176470588235297</v>
      </c>
    </row>
    <row r="197" spans="1:12" ht="19.5" customHeight="1" x14ac:dyDescent="0.35">
      <c r="A197" s="5">
        <v>2555</v>
      </c>
      <c r="B197" s="5"/>
      <c r="C197" s="6"/>
      <c r="D197" s="6"/>
      <c r="E197" s="6"/>
      <c r="F197" s="6"/>
      <c r="G197" s="6"/>
      <c r="H197" s="6"/>
      <c r="I197" s="9"/>
      <c r="J197" s="9"/>
      <c r="K197" s="9"/>
      <c r="L197" s="21"/>
    </row>
    <row r="198" spans="1:12" ht="19.5" customHeight="1" x14ac:dyDescent="0.35">
      <c r="A198" s="5">
        <v>2556</v>
      </c>
      <c r="B198" s="5"/>
      <c r="C198" s="6"/>
      <c r="D198" s="6"/>
      <c r="E198" s="6"/>
      <c r="F198" s="6"/>
      <c r="G198" s="6"/>
      <c r="H198" s="6"/>
      <c r="I198" s="9"/>
      <c r="J198" s="9"/>
      <c r="K198" s="9"/>
      <c r="L198" s="21"/>
    </row>
    <row r="199" spans="1:12" ht="19.5" customHeight="1" x14ac:dyDescent="0.35">
      <c r="A199" s="5">
        <v>2557</v>
      </c>
      <c r="B199" s="5"/>
      <c r="C199" s="6"/>
      <c r="D199" s="6"/>
      <c r="E199" s="6"/>
      <c r="F199" s="6"/>
      <c r="G199" s="6"/>
      <c r="H199" s="6"/>
      <c r="I199" s="9"/>
      <c r="J199" s="9"/>
      <c r="K199" s="9"/>
      <c r="L199" s="21"/>
    </row>
    <row r="200" spans="1:12" ht="19.5" customHeight="1" x14ac:dyDescent="0.35">
      <c r="A200" s="5">
        <v>2558</v>
      </c>
      <c r="B200" s="5"/>
      <c r="C200" s="6"/>
      <c r="D200" s="6"/>
      <c r="E200" s="6"/>
      <c r="F200" s="6"/>
      <c r="G200" s="6"/>
      <c r="H200" s="6"/>
      <c r="I200" s="9"/>
      <c r="J200" s="9"/>
      <c r="K200" s="9"/>
      <c r="L200" s="21"/>
    </row>
    <row r="201" spans="1:12" ht="19.5" customHeight="1" x14ac:dyDescent="0.35">
      <c r="A201" s="5">
        <v>2559</v>
      </c>
      <c r="B201" s="5"/>
      <c r="C201" s="6"/>
      <c r="D201" s="6"/>
      <c r="E201" s="6"/>
      <c r="F201" s="6"/>
      <c r="G201" s="6"/>
      <c r="H201" s="6"/>
      <c r="I201" s="9"/>
      <c r="J201" s="9"/>
      <c r="K201" s="9"/>
      <c r="L201" s="21"/>
    </row>
    <row r="202" spans="1:12" ht="19.5" customHeight="1" x14ac:dyDescent="0.35">
      <c r="A202" s="5">
        <v>2560</v>
      </c>
      <c r="B202" s="5"/>
      <c r="C202" s="6"/>
      <c r="D202" s="6"/>
      <c r="E202" s="6"/>
      <c r="F202" s="6"/>
      <c r="G202" s="6"/>
      <c r="H202" s="6"/>
      <c r="I202" s="9"/>
      <c r="J202" s="9"/>
      <c r="K202" s="9"/>
      <c r="L202" s="21"/>
    </row>
    <row r="203" spans="1:12" ht="19.5" customHeight="1" x14ac:dyDescent="0.35">
      <c r="A203" s="7" t="s">
        <v>0</v>
      </c>
      <c r="B203" s="7">
        <f>SUM(B195:B202)</f>
        <v>50</v>
      </c>
      <c r="C203" s="7">
        <f t="shared" ref="C203:K203" si="32">SUM(C195:C202)</f>
        <v>10</v>
      </c>
      <c r="D203" s="7">
        <f t="shared" si="32"/>
        <v>30</v>
      </c>
      <c r="E203" s="7">
        <f t="shared" si="32"/>
        <v>24</v>
      </c>
      <c r="F203" s="7">
        <f t="shared" si="32"/>
        <v>21</v>
      </c>
      <c r="G203" s="7">
        <f t="shared" si="32"/>
        <v>14</v>
      </c>
      <c r="H203" s="7">
        <f t="shared" si="32"/>
        <v>0</v>
      </c>
      <c r="I203" s="7">
        <f t="shared" si="32"/>
        <v>0</v>
      </c>
      <c r="J203" s="7">
        <f t="shared" si="32"/>
        <v>0</v>
      </c>
      <c r="K203" s="7">
        <f t="shared" si="32"/>
        <v>31</v>
      </c>
      <c r="L203" s="22"/>
    </row>
    <row r="204" spans="1:12" s="4" customFormat="1" ht="19.5" customHeight="1" x14ac:dyDescent="0.4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</row>
    <row r="205" spans="1:12" ht="23.25" customHeight="1" x14ac:dyDescent="0.35">
      <c r="A205" s="8" t="s">
        <v>19</v>
      </c>
      <c r="B205" s="3"/>
      <c r="C205" s="3"/>
      <c r="D205" s="3"/>
      <c r="E205" s="3"/>
      <c r="F205" s="3"/>
      <c r="G205" s="3"/>
      <c r="H205" s="3"/>
      <c r="I205" s="3"/>
      <c r="J205" s="14"/>
      <c r="K205" s="14"/>
      <c r="L205" s="14"/>
    </row>
    <row r="206" spans="1:12" ht="24" customHeight="1" x14ac:dyDescent="0.35">
      <c r="A206" s="60" t="s">
        <v>15</v>
      </c>
      <c r="B206" s="60" t="s">
        <v>1</v>
      </c>
      <c r="C206" s="62" t="s">
        <v>20</v>
      </c>
      <c r="D206" s="63"/>
      <c r="E206" s="63"/>
      <c r="F206" s="63"/>
      <c r="G206" s="63"/>
      <c r="H206" s="63"/>
      <c r="I206" s="63"/>
      <c r="J206" s="64"/>
      <c r="K206" s="56" t="s">
        <v>21</v>
      </c>
      <c r="L206" s="58" t="s">
        <v>23</v>
      </c>
    </row>
    <row r="207" spans="1:12" ht="41.1" customHeight="1" x14ac:dyDescent="0.35">
      <c r="A207" s="61"/>
      <c r="B207" s="60"/>
      <c r="C207" s="42">
        <v>2553</v>
      </c>
      <c r="D207" s="42">
        <v>2554</v>
      </c>
      <c r="E207" s="43">
        <v>2555</v>
      </c>
      <c r="F207" s="43">
        <v>2556</v>
      </c>
      <c r="G207" s="43">
        <v>2557</v>
      </c>
      <c r="H207" s="43">
        <v>2558</v>
      </c>
      <c r="I207" s="43">
        <v>2559</v>
      </c>
      <c r="J207" s="35">
        <v>2560</v>
      </c>
      <c r="K207" s="57"/>
      <c r="L207" s="59"/>
    </row>
    <row r="208" spans="1:12" ht="19.5" customHeight="1" x14ac:dyDescent="0.35">
      <c r="A208" s="5">
        <v>2553</v>
      </c>
      <c r="B208" s="5">
        <v>16</v>
      </c>
      <c r="C208" s="6"/>
      <c r="D208" s="6"/>
      <c r="E208" s="6"/>
      <c r="F208" s="28">
        <v>0</v>
      </c>
      <c r="G208" s="6">
        <v>5</v>
      </c>
      <c r="H208" s="6">
        <v>0</v>
      </c>
      <c r="I208" s="9">
        <v>0</v>
      </c>
      <c r="J208" s="9">
        <v>0</v>
      </c>
      <c r="K208" s="9">
        <v>0</v>
      </c>
      <c r="L208" s="21">
        <f>K208*100/B208</f>
        <v>0</v>
      </c>
    </row>
    <row r="209" spans="1:12" ht="19.5" customHeight="1" x14ac:dyDescent="0.35">
      <c r="A209" s="5">
        <v>2554</v>
      </c>
      <c r="B209" s="5">
        <v>34</v>
      </c>
      <c r="C209" s="6"/>
      <c r="D209" s="6"/>
      <c r="E209" s="6"/>
      <c r="F209" s="6"/>
      <c r="G209" s="28">
        <v>14</v>
      </c>
      <c r="H209" s="6">
        <v>0</v>
      </c>
      <c r="I209" s="9">
        <v>0</v>
      </c>
      <c r="J209" s="9">
        <v>0</v>
      </c>
      <c r="K209" s="9">
        <v>14</v>
      </c>
      <c r="L209" s="21">
        <f t="shared" ref="L209" si="33">K209*100/B209</f>
        <v>41.176470588235297</v>
      </c>
    </row>
    <row r="210" spans="1:12" ht="19.5" customHeight="1" x14ac:dyDescent="0.35">
      <c r="A210" s="5">
        <v>2555</v>
      </c>
      <c r="B210" s="5"/>
      <c r="C210" s="6"/>
      <c r="D210" s="6"/>
      <c r="E210" s="6"/>
      <c r="F210" s="6"/>
      <c r="G210" s="6"/>
      <c r="H210" s="6"/>
      <c r="I210" s="9"/>
      <c r="J210" s="9"/>
      <c r="K210" s="9"/>
      <c r="L210" s="21"/>
    </row>
    <row r="211" spans="1:12" ht="19.5" customHeight="1" x14ac:dyDescent="0.35">
      <c r="A211" s="5">
        <v>2556</v>
      </c>
      <c r="B211" s="5"/>
      <c r="C211" s="6"/>
      <c r="D211" s="6"/>
      <c r="E211" s="6"/>
      <c r="F211" s="6"/>
      <c r="G211" s="6"/>
      <c r="H211" s="6"/>
      <c r="I211" s="9"/>
      <c r="J211" s="9"/>
      <c r="K211" s="9"/>
      <c r="L211" s="21"/>
    </row>
    <row r="212" spans="1:12" ht="19.5" customHeight="1" x14ac:dyDescent="0.35">
      <c r="A212" s="5">
        <v>2557</v>
      </c>
      <c r="B212" s="5"/>
      <c r="C212" s="6"/>
      <c r="D212" s="6"/>
      <c r="E212" s="6"/>
      <c r="F212" s="6"/>
      <c r="G212" s="6"/>
      <c r="H212" s="6"/>
      <c r="I212" s="9"/>
      <c r="J212" s="9"/>
      <c r="K212" s="9"/>
      <c r="L212" s="21"/>
    </row>
    <row r="213" spans="1:12" ht="19.5" customHeight="1" x14ac:dyDescent="0.35">
      <c r="A213" s="5">
        <v>2558</v>
      </c>
      <c r="B213" s="5"/>
      <c r="C213" s="6"/>
      <c r="D213" s="6"/>
      <c r="E213" s="6"/>
      <c r="F213" s="6"/>
      <c r="G213" s="6"/>
      <c r="H213" s="6"/>
      <c r="I213" s="9"/>
      <c r="J213" s="9"/>
      <c r="K213" s="9"/>
      <c r="L213" s="21"/>
    </row>
    <row r="214" spans="1:12" ht="19.5" customHeight="1" x14ac:dyDescent="0.35">
      <c r="A214" s="5">
        <v>2559</v>
      </c>
      <c r="B214" s="5"/>
      <c r="C214" s="6"/>
      <c r="D214" s="6"/>
      <c r="E214" s="6"/>
      <c r="F214" s="6"/>
      <c r="G214" s="6"/>
      <c r="H214" s="6"/>
      <c r="I214" s="9"/>
      <c r="J214" s="9"/>
      <c r="K214" s="9"/>
      <c r="L214" s="21"/>
    </row>
    <row r="215" spans="1:12" ht="19.5" customHeight="1" x14ac:dyDescent="0.35">
      <c r="A215" s="5">
        <v>2560</v>
      </c>
      <c r="B215" s="5"/>
      <c r="C215" s="6"/>
      <c r="D215" s="6"/>
      <c r="E215" s="6"/>
      <c r="F215" s="6"/>
      <c r="G215" s="6"/>
      <c r="H215" s="6"/>
      <c r="I215" s="9"/>
      <c r="J215" s="9"/>
      <c r="K215" s="9"/>
      <c r="L215" s="21"/>
    </row>
    <row r="216" spans="1:12" ht="19.5" customHeight="1" x14ac:dyDescent="0.35">
      <c r="A216" s="19" t="s">
        <v>0</v>
      </c>
      <c r="B216" s="19">
        <f>SUM(B208:B215)</f>
        <v>50</v>
      </c>
      <c r="C216" s="19"/>
      <c r="D216" s="19"/>
      <c r="E216" s="19"/>
      <c r="F216" s="19">
        <f>SUM(F208:F215)</f>
        <v>0</v>
      </c>
      <c r="G216" s="19">
        <f t="shared" ref="G216:K216" si="34">SUM(G208:G215)</f>
        <v>19</v>
      </c>
      <c r="H216" s="19">
        <f t="shared" si="34"/>
        <v>0</v>
      </c>
      <c r="I216" s="19">
        <f t="shared" si="34"/>
        <v>0</v>
      </c>
      <c r="J216" s="19">
        <f t="shared" si="34"/>
        <v>0</v>
      </c>
      <c r="K216" s="19">
        <f t="shared" si="34"/>
        <v>14</v>
      </c>
      <c r="L216" s="23"/>
    </row>
    <row r="217" spans="1:12" s="4" customFormat="1" ht="12.75" customHeight="1" x14ac:dyDescent="0.4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</row>
    <row r="218" spans="1:12" ht="23.25" x14ac:dyDescent="0.35">
      <c r="A218" s="47" t="s">
        <v>10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</row>
    <row r="219" spans="1:12" ht="23.25" customHeight="1" x14ac:dyDescent="0.35">
      <c r="A219" s="8" t="s">
        <v>18</v>
      </c>
      <c r="B219" s="3"/>
      <c r="C219" s="3"/>
      <c r="D219" s="3"/>
      <c r="E219" s="3"/>
      <c r="F219" s="3"/>
      <c r="G219" s="3"/>
      <c r="H219" s="3"/>
      <c r="I219" s="3"/>
      <c r="J219" s="14"/>
      <c r="K219" s="14"/>
      <c r="L219" s="14"/>
    </row>
    <row r="220" spans="1:12" ht="24" customHeight="1" x14ac:dyDescent="0.35">
      <c r="A220" s="45" t="s">
        <v>15</v>
      </c>
      <c r="B220" s="45" t="s">
        <v>1</v>
      </c>
      <c r="C220" s="49" t="s">
        <v>17</v>
      </c>
      <c r="D220" s="50"/>
      <c r="E220" s="50"/>
      <c r="F220" s="50"/>
      <c r="G220" s="50"/>
      <c r="H220" s="50"/>
      <c r="I220" s="50"/>
      <c r="J220" s="51"/>
      <c r="K220" s="52" t="s">
        <v>28</v>
      </c>
      <c r="L220" s="54" t="s">
        <v>29</v>
      </c>
    </row>
    <row r="221" spans="1:12" ht="41.1" customHeight="1" x14ac:dyDescent="0.35">
      <c r="A221" s="46"/>
      <c r="B221" s="45"/>
      <c r="C221" s="40">
        <v>2553</v>
      </c>
      <c r="D221" s="40">
        <v>2554</v>
      </c>
      <c r="E221" s="41">
        <v>2555</v>
      </c>
      <c r="F221" s="41">
        <v>2556</v>
      </c>
      <c r="G221" s="41">
        <v>2557</v>
      </c>
      <c r="H221" s="41">
        <v>2558</v>
      </c>
      <c r="I221" s="41">
        <v>2559</v>
      </c>
      <c r="J221" s="34">
        <v>2560</v>
      </c>
      <c r="K221" s="53"/>
      <c r="L221" s="55"/>
    </row>
    <row r="222" spans="1:12" ht="19.5" customHeight="1" x14ac:dyDescent="0.35">
      <c r="A222" s="5">
        <v>2553</v>
      </c>
      <c r="B222" s="5">
        <f>40+40+15+131</f>
        <v>226</v>
      </c>
      <c r="C222" s="6">
        <f>83+107</f>
        <v>190</v>
      </c>
      <c r="D222" s="6">
        <f>69+83</f>
        <v>152</v>
      </c>
      <c r="E222" s="6">
        <f>63+71</f>
        <v>134</v>
      </c>
      <c r="F222" s="28">
        <v>123</v>
      </c>
      <c r="G222" s="6">
        <v>91</v>
      </c>
      <c r="H222" s="6">
        <v>29</v>
      </c>
      <c r="I222" s="9">
        <v>0</v>
      </c>
      <c r="J222" s="9">
        <v>0</v>
      </c>
      <c r="K222" s="9">
        <f>38+60</f>
        <v>98</v>
      </c>
      <c r="L222" s="21">
        <f>F222*100/B222</f>
        <v>54.424778761061944</v>
      </c>
    </row>
    <row r="223" spans="1:12" ht="19.5" customHeight="1" x14ac:dyDescent="0.35">
      <c r="A223" s="5">
        <v>2554</v>
      </c>
      <c r="B223" s="5">
        <f>33+46+135</f>
        <v>214</v>
      </c>
      <c r="C223" s="6"/>
      <c r="D223" s="6">
        <f>66+108</f>
        <v>174</v>
      </c>
      <c r="E223" s="6">
        <f>56+84</f>
        <v>140</v>
      </c>
      <c r="F223" s="6">
        <v>119</v>
      </c>
      <c r="G223" s="28">
        <v>114</v>
      </c>
      <c r="H223" s="6">
        <v>75</v>
      </c>
      <c r="I223" s="9">
        <v>5</v>
      </c>
      <c r="J223" s="9">
        <v>1</v>
      </c>
      <c r="K223" s="9">
        <v>98</v>
      </c>
      <c r="L223" s="21">
        <f>G223*100/B223</f>
        <v>53.271028037383175</v>
      </c>
    </row>
    <row r="224" spans="1:12" ht="19.5" customHeight="1" x14ac:dyDescent="0.35">
      <c r="A224" s="5">
        <v>2555</v>
      </c>
      <c r="B224" s="5">
        <f>29+40+92</f>
        <v>161</v>
      </c>
      <c r="C224" s="6"/>
      <c r="D224" s="6"/>
      <c r="E224" s="6">
        <f>57+77</f>
        <v>134</v>
      </c>
      <c r="F224" s="6">
        <f>51+57</f>
        <v>108</v>
      </c>
      <c r="G224" s="6">
        <v>94</v>
      </c>
      <c r="H224" s="28">
        <v>93</v>
      </c>
      <c r="I224" s="9">
        <v>43</v>
      </c>
      <c r="J224" s="9">
        <v>2</v>
      </c>
      <c r="K224" s="9">
        <v>71</v>
      </c>
      <c r="L224" s="21">
        <f>H224*100/B224</f>
        <v>57.763975155279503</v>
      </c>
    </row>
    <row r="225" spans="1:12" ht="19.5" customHeight="1" x14ac:dyDescent="0.35">
      <c r="A225" s="5">
        <v>2556</v>
      </c>
      <c r="B225" s="5">
        <f>35+31+94</f>
        <v>160</v>
      </c>
      <c r="C225" s="6"/>
      <c r="D225" s="6"/>
      <c r="E225" s="6"/>
      <c r="F225" s="6">
        <f>55+78</f>
        <v>133</v>
      </c>
      <c r="G225" s="6">
        <f>41+60</f>
        <v>101</v>
      </c>
      <c r="H225" s="6">
        <v>92</v>
      </c>
      <c r="I225" s="29">
        <f>B225-K225</f>
        <v>87</v>
      </c>
      <c r="J225" s="12">
        <v>35</v>
      </c>
      <c r="K225" s="9">
        <v>73</v>
      </c>
      <c r="L225" s="21">
        <f>I225*100/B225</f>
        <v>54.375</v>
      </c>
    </row>
    <row r="226" spans="1:12" ht="19.5" customHeight="1" x14ac:dyDescent="0.35">
      <c r="A226" s="5">
        <v>2557</v>
      </c>
      <c r="B226" s="5">
        <f>36+24+80</f>
        <v>140</v>
      </c>
      <c r="C226" s="6"/>
      <c r="D226" s="6"/>
      <c r="E226" s="6"/>
      <c r="F226" s="6"/>
      <c r="G226" s="6">
        <f>41+70</f>
        <v>111</v>
      </c>
      <c r="H226" s="6">
        <v>78</v>
      </c>
      <c r="I226" s="12">
        <f t="shared" ref="I226:I228" si="35">B226-K226</f>
        <v>75</v>
      </c>
      <c r="J226" s="29">
        <v>75</v>
      </c>
      <c r="K226" s="9">
        <v>65</v>
      </c>
      <c r="L226" s="21">
        <f>J226*100/B226</f>
        <v>53.571428571428569</v>
      </c>
    </row>
    <row r="227" spans="1:12" ht="19.5" customHeight="1" x14ac:dyDescent="0.35">
      <c r="A227" s="5">
        <v>2558</v>
      </c>
      <c r="B227" s="5">
        <f>32+32+28</f>
        <v>92</v>
      </c>
      <c r="C227" s="6"/>
      <c r="D227" s="6"/>
      <c r="E227" s="6"/>
      <c r="F227" s="6"/>
      <c r="G227" s="6"/>
      <c r="H227" s="6">
        <f>54+23</f>
        <v>77</v>
      </c>
      <c r="I227" s="12">
        <f t="shared" si="35"/>
        <v>72</v>
      </c>
      <c r="J227" s="29">
        <v>72</v>
      </c>
      <c r="K227" s="9">
        <v>20</v>
      </c>
      <c r="L227" s="21">
        <f t="shared" ref="L227:L229" si="36">J227*100/B227</f>
        <v>78.260869565217391</v>
      </c>
    </row>
    <row r="228" spans="1:12" ht="19.5" customHeight="1" x14ac:dyDescent="0.35">
      <c r="A228" s="5">
        <v>2559</v>
      </c>
      <c r="B228" s="5">
        <f>24+43</f>
        <v>67</v>
      </c>
      <c r="C228" s="6"/>
      <c r="D228" s="6"/>
      <c r="E228" s="6"/>
      <c r="F228" s="6"/>
      <c r="G228" s="6"/>
      <c r="H228" s="6"/>
      <c r="I228" s="12">
        <f t="shared" si="35"/>
        <v>54</v>
      </c>
      <c r="J228" s="29">
        <v>54</v>
      </c>
      <c r="K228" s="9">
        <v>13</v>
      </c>
      <c r="L228" s="21">
        <f t="shared" si="36"/>
        <v>80.597014925373131</v>
      </c>
    </row>
    <row r="229" spans="1:12" ht="19.5" customHeight="1" x14ac:dyDescent="0.35">
      <c r="A229" s="5">
        <v>2560</v>
      </c>
      <c r="B229" s="5">
        <v>73</v>
      </c>
      <c r="C229" s="6"/>
      <c r="D229" s="6"/>
      <c r="E229" s="6"/>
      <c r="F229" s="6"/>
      <c r="G229" s="6"/>
      <c r="H229" s="6"/>
      <c r="I229" s="12"/>
      <c r="J229" s="29">
        <v>73</v>
      </c>
      <c r="K229" s="9">
        <v>0</v>
      </c>
      <c r="L229" s="21">
        <f t="shared" si="36"/>
        <v>100</v>
      </c>
    </row>
    <row r="230" spans="1:12" ht="19.5" customHeight="1" x14ac:dyDescent="0.35">
      <c r="A230" s="7" t="s">
        <v>0</v>
      </c>
      <c r="B230" s="16">
        <f>SUM(B222:B229)</f>
        <v>1133</v>
      </c>
      <c r="C230" s="16">
        <f t="shared" ref="C230:K230" si="37">SUM(C222:C229)</f>
        <v>190</v>
      </c>
      <c r="D230" s="16">
        <f t="shared" si="37"/>
        <v>326</v>
      </c>
      <c r="E230" s="16">
        <f t="shared" si="37"/>
        <v>408</v>
      </c>
      <c r="F230" s="16">
        <f t="shared" si="37"/>
        <v>483</v>
      </c>
      <c r="G230" s="16">
        <f t="shared" si="37"/>
        <v>511</v>
      </c>
      <c r="H230" s="16">
        <f t="shared" si="37"/>
        <v>444</v>
      </c>
      <c r="I230" s="16">
        <f t="shared" si="37"/>
        <v>336</v>
      </c>
      <c r="J230" s="16">
        <f t="shared" si="37"/>
        <v>312</v>
      </c>
      <c r="K230" s="16">
        <f t="shared" si="37"/>
        <v>438</v>
      </c>
      <c r="L230" s="22"/>
    </row>
    <row r="231" spans="1:12" s="4" customFormat="1" ht="20.25" customHeight="1" x14ac:dyDescent="0.4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</row>
    <row r="232" spans="1:12" ht="23.25" customHeight="1" x14ac:dyDescent="0.35">
      <c r="A232" s="8" t="s">
        <v>19</v>
      </c>
      <c r="B232" s="3"/>
      <c r="C232" s="3"/>
      <c r="D232" s="3"/>
      <c r="E232" s="3"/>
      <c r="F232" s="3"/>
      <c r="G232" s="3"/>
      <c r="H232" s="3"/>
      <c r="I232" s="3"/>
      <c r="J232" s="14"/>
      <c r="K232" s="14"/>
      <c r="L232" s="14"/>
    </row>
    <row r="233" spans="1:12" ht="24" customHeight="1" x14ac:dyDescent="0.35">
      <c r="A233" s="60" t="s">
        <v>15</v>
      </c>
      <c r="B233" s="60" t="s">
        <v>1</v>
      </c>
      <c r="C233" s="62" t="s">
        <v>20</v>
      </c>
      <c r="D233" s="63"/>
      <c r="E233" s="63"/>
      <c r="F233" s="63"/>
      <c r="G233" s="63"/>
      <c r="H233" s="63"/>
      <c r="I233" s="63"/>
      <c r="J233" s="64"/>
      <c r="K233" s="56" t="s">
        <v>21</v>
      </c>
      <c r="L233" s="58" t="s">
        <v>23</v>
      </c>
    </row>
    <row r="234" spans="1:12" ht="41.1" customHeight="1" x14ac:dyDescent="0.35">
      <c r="A234" s="61"/>
      <c r="B234" s="60"/>
      <c r="C234" s="42">
        <v>2553</v>
      </c>
      <c r="D234" s="42">
        <v>2554</v>
      </c>
      <c r="E234" s="43">
        <v>2555</v>
      </c>
      <c r="F234" s="43">
        <v>2556</v>
      </c>
      <c r="G234" s="43">
        <v>2557</v>
      </c>
      <c r="H234" s="43">
        <v>2558</v>
      </c>
      <c r="I234" s="43">
        <v>2559</v>
      </c>
      <c r="J234" s="35">
        <v>2560</v>
      </c>
      <c r="K234" s="57"/>
      <c r="L234" s="59"/>
    </row>
    <row r="235" spans="1:12" ht="19.5" customHeight="1" x14ac:dyDescent="0.35">
      <c r="A235" s="5">
        <v>2553</v>
      </c>
      <c r="B235" s="5">
        <f>40+40+15+131</f>
        <v>226</v>
      </c>
      <c r="C235" s="6"/>
      <c r="D235" s="6"/>
      <c r="E235" s="28">
        <v>5</v>
      </c>
      <c r="F235" s="28">
        <f>23+9</f>
        <v>32</v>
      </c>
      <c r="G235" s="6">
        <f>33+29</f>
        <v>62</v>
      </c>
      <c r="H235" s="6">
        <f>1+27</f>
        <v>28</v>
      </c>
      <c r="I235" s="9">
        <v>1</v>
      </c>
      <c r="J235" s="9">
        <v>0</v>
      </c>
      <c r="K235" s="9">
        <f>23+14</f>
        <v>37</v>
      </c>
      <c r="L235" s="21">
        <f>K235*100/B235</f>
        <v>16.371681415929203</v>
      </c>
    </row>
    <row r="236" spans="1:12" ht="19.5" customHeight="1" x14ac:dyDescent="0.35">
      <c r="A236" s="5">
        <v>2554</v>
      </c>
      <c r="B236" s="5">
        <f>33+46+135</f>
        <v>214</v>
      </c>
      <c r="C236" s="6"/>
      <c r="D236" s="6"/>
      <c r="E236" s="6"/>
      <c r="F236" s="28">
        <v>5</v>
      </c>
      <c r="G236" s="28">
        <f>36+3</f>
        <v>39</v>
      </c>
      <c r="H236" s="6">
        <f>5+32</f>
        <v>37</v>
      </c>
      <c r="I236" s="9">
        <f>6+27</f>
        <v>33</v>
      </c>
      <c r="J236" s="9">
        <v>1</v>
      </c>
      <c r="K236" s="9">
        <f>36+8</f>
        <v>44</v>
      </c>
      <c r="L236" s="21">
        <f t="shared" ref="L236:L238" si="38">K236*100/B236</f>
        <v>20.560747663551403</v>
      </c>
    </row>
    <row r="237" spans="1:12" ht="19.5" customHeight="1" x14ac:dyDescent="0.35">
      <c r="A237" s="5">
        <v>2555</v>
      </c>
      <c r="B237" s="5">
        <f>29+40+92</f>
        <v>161</v>
      </c>
      <c r="C237" s="6"/>
      <c r="D237" s="6"/>
      <c r="E237" s="6"/>
      <c r="F237" s="6"/>
      <c r="G237" s="28">
        <v>1</v>
      </c>
      <c r="H237" s="28">
        <f>10+6</f>
        <v>16</v>
      </c>
      <c r="I237" s="9">
        <f>33+17</f>
        <v>50</v>
      </c>
      <c r="J237" s="9">
        <v>21</v>
      </c>
      <c r="K237" s="9">
        <f>10+7</f>
        <v>17</v>
      </c>
      <c r="L237" s="21">
        <f t="shared" si="38"/>
        <v>10.559006211180124</v>
      </c>
    </row>
    <row r="238" spans="1:12" ht="19.5" customHeight="1" x14ac:dyDescent="0.35">
      <c r="A238" s="5">
        <v>2556</v>
      </c>
      <c r="B238" s="5">
        <f>35+31+94</f>
        <v>160</v>
      </c>
      <c r="C238" s="6"/>
      <c r="D238" s="6"/>
      <c r="E238" s="6"/>
      <c r="F238" s="6"/>
      <c r="G238" s="6"/>
      <c r="H238" s="6"/>
      <c r="I238" s="29">
        <f>22+2</f>
        <v>24</v>
      </c>
      <c r="J238" s="29">
        <v>28</v>
      </c>
      <c r="K238" s="9">
        <f>22+2</f>
        <v>24</v>
      </c>
      <c r="L238" s="21">
        <f t="shared" si="38"/>
        <v>15</v>
      </c>
    </row>
    <row r="239" spans="1:12" ht="19.5" customHeight="1" x14ac:dyDescent="0.35">
      <c r="A239" s="5">
        <v>2557</v>
      </c>
      <c r="B239" s="5">
        <f>36+24+80</f>
        <v>140</v>
      </c>
      <c r="C239" s="6"/>
      <c r="D239" s="6"/>
      <c r="E239" s="6"/>
      <c r="F239" s="6"/>
      <c r="G239" s="6"/>
      <c r="H239" s="6"/>
      <c r="I239" s="9"/>
      <c r="J239" s="9"/>
      <c r="K239" s="9"/>
      <c r="L239" s="21"/>
    </row>
    <row r="240" spans="1:12" ht="19.5" customHeight="1" x14ac:dyDescent="0.35">
      <c r="A240" s="5">
        <v>2558</v>
      </c>
      <c r="B240" s="5">
        <f>32+32+28</f>
        <v>92</v>
      </c>
      <c r="C240" s="6"/>
      <c r="D240" s="6"/>
      <c r="E240" s="6"/>
      <c r="F240" s="6"/>
      <c r="G240" s="6"/>
      <c r="H240" s="6"/>
      <c r="I240" s="9"/>
      <c r="J240" s="9"/>
      <c r="K240" s="9"/>
      <c r="L240" s="21"/>
    </row>
    <row r="241" spans="1:12" ht="19.5" customHeight="1" x14ac:dyDescent="0.35">
      <c r="A241" s="5">
        <v>2559</v>
      </c>
      <c r="B241" s="5">
        <f>24+43</f>
        <v>67</v>
      </c>
      <c r="C241" s="6"/>
      <c r="D241" s="6"/>
      <c r="E241" s="6"/>
      <c r="F241" s="6"/>
      <c r="G241" s="6"/>
      <c r="H241" s="6"/>
      <c r="I241" s="9"/>
      <c r="J241" s="9"/>
      <c r="K241" s="9"/>
      <c r="L241" s="21"/>
    </row>
    <row r="242" spans="1:12" ht="19.5" customHeight="1" x14ac:dyDescent="0.35">
      <c r="A242" s="5">
        <v>2560</v>
      </c>
      <c r="B242" s="5">
        <v>73</v>
      </c>
      <c r="C242" s="6"/>
      <c r="D242" s="6"/>
      <c r="E242" s="6"/>
      <c r="F242" s="6"/>
      <c r="G242" s="6"/>
      <c r="H242" s="6"/>
      <c r="I242" s="9"/>
      <c r="J242" s="9"/>
      <c r="K242" s="9"/>
      <c r="L242" s="21"/>
    </row>
    <row r="243" spans="1:12" ht="19.5" customHeight="1" x14ac:dyDescent="0.35">
      <c r="A243" s="19" t="s">
        <v>0</v>
      </c>
      <c r="B243" s="20">
        <f>SUM(B235:B242)</f>
        <v>1133</v>
      </c>
      <c r="C243" s="19"/>
      <c r="D243" s="19"/>
      <c r="E243" s="19">
        <f>SUM(E235:E242)</f>
        <v>5</v>
      </c>
      <c r="F243" s="19">
        <f t="shared" ref="F243:K243" si="39">SUM(F235:F242)</f>
        <v>37</v>
      </c>
      <c r="G243" s="19">
        <f t="shared" si="39"/>
        <v>102</v>
      </c>
      <c r="H243" s="19">
        <f t="shared" si="39"/>
        <v>81</v>
      </c>
      <c r="I243" s="19">
        <f t="shared" si="39"/>
        <v>108</v>
      </c>
      <c r="J243" s="19">
        <f t="shared" si="39"/>
        <v>50</v>
      </c>
      <c r="K243" s="19">
        <f t="shared" si="39"/>
        <v>122</v>
      </c>
      <c r="L243" s="23"/>
    </row>
    <row r="244" spans="1:12" s="4" customFormat="1" ht="12.75" customHeight="1" x14ac:dyDescent="0.4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</row>
    <row r="245" spans="1:12" ht="23.25" x14ac:dyDescent="0.35">
      <c r="A245" s="47" t="s">
        <v>11</v>
      </c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</row>
    <row r="246" spans="1:12" ht="23.25" customHeight="1" x14ac:dyDescent="0.35">
      <c r="A246" s="8" t="s">
        <v>18</v>
      </c>
      <c r="B246" s="3"/>
      <c r="C246" s="3"/>
      <c r="D246" s="3"/>
      <c r="E246" s="3"/>
      <c r="F246" s="3"/>
      <c r="G246" s="3"/>
      <c r="H246" s="3"/>
      <c r="I246" s="3"/>
      <c r="J246" s="14"/>
      <c r="K246" s="14"/>
      <c r="L246" s="14"/>
    </row>
    <row r="247" spans="1:12" ht="24" customHeight="1" x14ac:dyDescent="0.35">
      <c r="A247" s="45" t="s">
        <v>15</v>
      </c>
      <c r="B247" s="45" t="s">
        <v>1</v>
      </c>
      <c r="C247" s="49" t="s">
        <v>17</v>
      </c>
      <c r="D247" s="50"/>
      <c r="E247" s="50"/>
      <c r="F247" s="50"/>
      <c r="G247" s="50"/>
      <c r="H247" s="50"/>
      <c r="I247" s="50"/>
      <c r="J247" s="51"/>
      <c r="K247" s="52" t="s">
        <v>28</v>
      </c>
      <c r="L247" s="54" t="s">
        <v>29</v>
      </c>
    </row>
    <row r="248" spans="1:12" ht="41.1" customHeight="1" x14ac:dyDescent="0.35">
      <c r="A248" s="46"/>
      <c r="B248" s="45"/>
      <c r="C248" s="40">
        <v>2553</v>
      </c>
      <c r="D248" s="40">
        <v>2554</v>
      </c>
      <c r="E248" s="41">
        <v>2555</v>
      </c>
      <c r="F248" s="41">
        <v>2556</v>
      </c>
      <c r="G248" s="41">
        <v>2557</v>
      </c>
      <c r="H248" s="41">
        <v>2558</v>
      </c>
      <c r="I248" s="41">
        <v>2559</v>
      </c>
      <c r="J248" s="34">
        <v>2560</v>
      </c>
      <c r="K248" s="53"/>
      <c r="L248" s="55"/>
    </row>
    <row r="249" spans="1:12" ht="19.5" customHeight="1" x14ac:dyDescent="0.35">
      <c r="A249" s="5">
        <v>2553</v>
      </c>
      <c r="B249" s="5">
        <f>32+40+81</f>
        <v>153</v>
      </c>
      <c r="C249" s="6">
        <f>63+64</f>
        <v>127</v>
      </c>
      <c r="D249" s="6">
        <f>52+53</f>
        <v>105</v>
      </c>
      <c r="E249" s="6">
        <f>53+51</f>
        <v>104</v>
      </c>
      <c r="F249" s="28">
        <v>102</v>
      </c>
      <c r="G249" s="6">
        <v>71</v>
      </c>
      <c r="H249" s="6">
        <v>40</v>
      </c>
      <c r="I249" s="9">
        <v>27</v>
      </c>
      <c r="J249" s="9">
        <v>1</v>
      </c>
      <c r="K249" s="9">
        <f>19+29</f>
        <v>48</v>
      </c>
      <c r="L249" s="21">
        <f>F249/B249*100</f>
        <v>66.666666666666657</v>
      </c>
    </row>
    <row r="250" spans="1:12" ht="19.5" customHeight="1" x14ac:dyDescent="0.35">
      <c r="A250" s="5">
        <v>2554</v>
      </c>
      <c r="B250" s="5">
        <f>24+31+93</f>
        <v>148</v>
      </c>
      <c r="C250" s="6"/>
      <c r="D250" s="6">
        <f>46+76</f>
        <v>122</v>
      </c>
      <c r="E250" s="6">
        <f>47+55</f>
        <v>102</v>
      </c>
      <c r="F250" s="6">
        <f>46+48</f>
        <v>94</v>
      </c>
      <c r="G250" s="28">
        <f>B250-K250</f>
        <v>98</v>
      </c>
      <c r="H250" s="6">
        <f>1+4</f>
        <v>5</v>
      </c>
      <c r="I250" s="9">
        <v>0</v>
      </c>
      <c r="J250" s="9">
        <v>0</v>
      </c>
      <c r="K250" s="9">
        <f>10+40</f>
        <v>50</v>
      </c>
      <c r="L250" s="21">
        <f>G250/B250*100</f>
        <v>66.21621621621621</v>
      </c>
    </row>
    <row r="251" spans="1:12" ht="19.5" customHeight="1" x14ac:dyDescent="0.35">
      <c r="A251" s="5">
        <v>2555</v>
      </c>
      <c r="B251" s="5">
        <f>30+26+36</f>
        <v>92</v>
      </c>
      <c r="C251" s="6"/>
      <c r="D251" s="6"/>
      <c r="E251" s="6">
        <f>50+36</f>
        <v>86</v>
      </c>
      <c r="F251" s="6">
        <f>43+23</f>
        <v>66</v>
      </c>
      <c r="G251" s="6">
        <f>42+22</f>
        <v>64</v>
      </c>
      <c r="H251" s="28">
        <f>B251-K251</f>
        <v>62</v>
      </c>
      <c r="I251" s="9">
        <f>4+2</f>
        <v>6</v>
      </c>
      <c r="J251" s="9">
        <v>6</v>
      </c>
      <c r="K251" s="9">
        <f>14+16</f>
        <v>30</v>
      </c>
      <c r="L251" s="21">
        <f>H251/B251*100</f>
        <v>67.391304347826093</v>
      </c>
    </row>
    <row r="252" spans="1:12" ht="19.5" customHeight="1" x14ac:dyDescent="0.35">
      <c r="A252" s="5">
        <v>2556</v>
      </c>
      <c r="B252" s="5">
        <f>46+36+89</f>
        <v>171</v>
      </c>
      <c r="C252" s="6"/>
      <c r="D252" s="6"/>
      <c r="E252" s="6"/>
      <c r="F252" s="6">
        <f>64+89</f>
        <v>153</v>
      </c>
      <c r="G252" s="6">
        <v>113</v>
      </c>
      <c r="H252" s="6">
        <v>113</v>
      </c>
      <c r="I252" s="29">
        <f>B252-K252</f>
        <v>111</v>
      </c>
      <c r="J252" s="12">
        <v>39</v>
      </c>
      <c r="K252" s="9">
        <v>60</v>
      </c>
      <c r="L252" s="21">
        <f>I252/B252*100</f>
        <v>64.912280701754383</v>
      </c>
    </row>
    <row r="253" spans="1:12" ht="19.5" customHeight="1" x14ac:dyDescent="0.35">
      <c r="A253" s="5">
        <v>2557</v>
      </c>
      <c r="B253" s="5">
        <f>43+39+108</f>
        <v>190</v>
      </c>
      <c r="C253" s="6"/>
      <c r="D253" s="6"/>
      <c r="E253" s="6"/>
      <c r="F253" s="6"/>
      <c r="G253" s="6">
        <f>67+96</f>
        <v>163</v>
      </c>
      <c r="H253" s="6">
        <f>63+74</f>
        <v>137</v>
      </c>
      <c r="I253" s="12">
        <f t="shared" ref="I253:I255" si="40">B253-K253</f>
        <v>133</v>
      </c>
      <c r="J253" s="29">
        <v>130</v>
      </c>
      <c r="K253" s="9">
        <v>57</v>
      </c>
      <c r="L253" s="21">
        <f>J253/B253*100</f>
        <v>68.421052631578945</v>
      </c>
    </row>
    <row r="254" spans="1:12" ht="19.5" customHeight="1" x14ac:dyDescent="0.35">
      <c r="A254" s="5">
        <v>2558</v>
      </c>
      <c r="B254" s="5">
        <f>39+45+49+28</f>
        <v>161</v>
      </c>
      <c r="C254" s="6"/>
      <c r="D254" s="6"/>
      <c r="E254" s="6"/>
      <c r="F254" s="6"/>
      <c r="G254" s="6"/>
      <c r="H254" s="6">
        <f>122+20</f>
        <v>142</v>
      </c>
      <c r="I254" s="12">
        <f t="shared" si="40"/>
        <v>131</v>
      </c>
      <c r="J254" s="29">
        <v>131</v>
      </c>
      <c r="K254" s="9">
        <v>30</v>
      </c>
      <c r="L254" s="21">
        <f t="shared" ref="L254:L256" si="41">J254/B254*100</f>
        <v>81.366459627329192</v>
      </c>
    </row>
    <row r="255" spans="1:12" ht="19.5" customHeight="1" x14ac:dyDescent="0.35">
      <c r="A255" s="5">
        <v>2559</v>
      </c>
      <c r="B255" s="5">
        <f>44+40+63</f>
        <v>147</v>
      </c>
      <c r="C255" s="6"/>
      <c r="D255" s="6"/>
      <c r="E255" s="6"/>
      <c r="F255" s="6"/>
      <c r="G255" s="6"/>
      <c r="H255" s="6"/>
      <c r="I255" s="12">
        <f t="shared" si="40"/>
        <v>111</v>
      </c>
      <c r="J255" s="29">
        <v>111</v>
      </c>
      <c r="K255" s="9">
        <v>36</v>
      </c>
      <c r="L255" s="21">
        <f t="shared" si="41"/>
        <v>75.510204081632651</v>
      </c>
    </row>
    <row r="256" spans="1:12" ht="19.5" customHeight="1" x14ac:dyDescent="0.35">
      <c r="A256" s="5">
        <v>2560</v>
      </c>
      <c r="B256" s="5">
        <v>167</v>
      </c>
      <c r="C256" s="6"/>
      <c r="D256" s="6"/>
      <c r="E256" s="6"/>
      <c r="F256" s="6"/>
      <c r="G256" s="6"/>
      <c r="H256" s="6"/>
      <c r="I256" s="12"/>
      <c r="J256" s="29">
        <v>163</v>
      </c>
      <c r="K256" s="9">
        <v>4</v>
      </c>
      <c r="L256" s="21">
        <f t="shared" si="41"/>
        <v>97.604790419161674</v>
      </c>
    </row>
    <row r="257" spans="1:12" ht="19.5" customHeight="1" x14ac:dyDescent="0.35">
      <c r="A257" s="7" t="s">
        <v>0</v>
      </c>
      <c r="B257" s="16">
        <f>SUM(B249:B256)</f>
        <v>1229</v>
      </c>
      <c r="C257" s="16">
        <f t="shared" ref="C257:K257" si="42">SUM(C249:C256)</f>
        <v>127</v>
      </c>
      <c r="D257" s="16">
        <f t="shared" si="42"/>
        <v>227</v>
      </c>
      <c r="E257" s="16">
        <f t="shared" si="42"/>
        <v>292</v>
      </c>
      <c r="F257" s="16">
        <f t="shared" si="42"/>
        <v>415</v>
      </c>
      <c r="G257" s="16">
        <f t="shared" si="42"/>
        <v>509</v>
      </c>
      <c r="H257" s="16">
        <f t="shared" si="42"/>
        <v>499</v>
      </c>
      <c r="I257" s="16">
        <f t="shared" si="42"/>
        <v>519</v>
      </c>
      <c r="J257" s="16">
        <f t="shared" si="42"/>
        <v>581</v>
      </c>
      <c r="K257" s="16">
        <f t="shared" si="42"/>
        <v>315</v>
      </c>
      <c r="L257" s="22"/>
    </row>
    <row r="258" spans="1:12" s="4" customFormat="1" ht="18.75" customHeight="1" x14ac:dyDescent="0.4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4"/>
    </row>
    <row r="259" spans="1:12" ht="23.25" customHeight="1" x14ac:dyDescent="0.35">
      <c r="A259" s="8" t="s">
        <v>19</v>
      </c>
      <c r="B259" s="3"/>
      <c r="C259" s="3"/>
      <c r="D259" s="3"/>
      <c r="E259" s="3"/>
      <c r="F259" s="3"/>
      <c r="G259" s="3"/>
      <c r="H259" s="3"/>
      <c r="I259" s="3"/>
      <c r="J259" s="14"/>
      <c r="K259" s="14"/>
      <c r="L259" s="14"/>
    </row>
    <row r="260" spans="1:12" ht="24" customHeight="1" x14ac:dyDescent="0.35">
      <c r="A260" s="60" t="s">
        <v>15</v>
      </c>
      <c r="B260" s="60" t="s">
        <v>1</v>
      </c>
      <c r="C260" s="62" t="s">
        <v>20</v>
      </c>
      <c r="D260" s="63"/>
      <c r="E260" s="63"/>
      <c r="F260" s="63"/>
      <c r="G260" s="63"/>
      <c r="H260" s="63"/>
      <c r="I260" s="63"/>
      <c r="J260" s="64"/>
      <c r="K260" s="56" t="s">
        <v>21</v>
      </c>
      <c r="L260" s="58" t="s">
        <v>23</v>
      </c>
    </row>
    <row r="261" spans="1:12" ht="41.1" customHeight="1" x14ac:dyDescent="0.35">
      <c r="A261" s="61"/>
      <c r="B261" s="60"/>
      <c r="C261" s="42">
        <v>2553</v>
      </c>
      <c r="D261" s="42">
        <v>2554</v>
      </c>
      <c r="E261" s="43">
        <v>2555</v>
      </c>
      <c r="F261" s="43">
        <v>2556</v>
      </c>
      <c r="G261" s="43">
        <v>2557</v>
      </c>
      <c r="H261" s="43">
        <v>2558</v>
      </c>
      <c r="I261" s="43">
        <v>2559</v>
      </c>
      <c r="J261" s="35">
        <v>2560</v>
      </c>
      <c r="K261" s="57"/>
      <c r="L261" s="59"/>
    </row>
    <row r="262" spans="1:12" ht="19.5" customHeight="1" x14ac:dyDescent="0.35">
      <c r="A262" s="5">
        <v>2553</v>
      </c>
      <c r="B262" s="5">
        <f>32+40+81</f>
        <v>153</v>
      </c>
      <c r="C262" s="6"/>
      <c r="D262" s="6"/>
      <c r="E262" s="28">
        <v>2</v>
      </c>
      <c r="F262" s="28">
        <f>41+15</f>
        <v>56</v>
      </c>
      <c r="G262" s="6">
        <f>10+21</f>
        <v>31</v>
      </c>
      <c r="H262" s="6">
        <f>1+12</f>
        <v>13</v>
      </c>
      <c r="I262" s="9">
        <f>1+1</f>
        <v>2</v>
      </c>
      <c r="J262" s="9">
        <v>0</v>
      </c>
      <c r="K262" s="9">
        <f>41+17</f>
        <v>58</v>
      </c>
      <c r="L262" s="21">
        <f>K262*100/B262</f>
        <v>37.908496732026144</v>
      </c>
    </row>
    <row r="263" spans="1:12" ht="19.5" customHeight="1" x14ac:dyDescent="0.35">
      <c r="A263" s="5">
        <v>2554</v>
      </c>
      <c r="B263" s="5">
        <f>24+31+93</f>
        <v>148</v>
      </c>
      <c r="C263" s="6"/>
      <c r="D263" s="6"/>
      <c r="E263" s="6"/>
      <c r="F263" s="6"/>
      <c r="G263" s="28">
        <f>44+16</f>
        <v>60</v>
      </c>
      <c r="H263" s="6">
        <f>0+24</f>
        <v>24</v>
      </c>
      <c r="I263" s="9">
        <f>1+13</f>
        <v>14</v>
      </c>
      <c r="J263" s="9">
        <v>0</v>
      </c>
      <c r="K263" s="9">
        <f>44+16</f>
        <v>60</v>
      </c>
      <c r="L263" s="21">
        <f t="shared" ref="L263:L265" si="43">K263*100/B263</f>
        <v>40.54054054054054</v>
      </c>
    </row>
    <row r="264" spans="1:12" ht="19.5" customHeight="1" x14ac:dyDescent="0.35">
      <c r="A264" s="5">
        <v>2555</v>
      </c>
      <c r="B264" s="5">
        <f>30+26+36</f>
        <v>92</v>
      </c>
      <c r="C264" s="6"/>
      <c r="D264" s="6"/>
      <c r="E264" s="6"/>
      <c r="F264" s="6"/>
      <c r="G264" s="28">
        <v>1</v>
      </c>
      <c r="H264" s="28">
        <v>14</v>
      </c>
      <c r="I264" s="9">
        <f>24+18</f>
        <v>42</v>
      </c>
      <c r="J264" s="9">
        <v>1</v>
      </c>
      <c r="K264" s="9">
        <f>14+1</f>
        <v>15</v>
      </c>
      <c r="L264" s="21">
        <f t="shared" si="43"/>
        <v>16.304347826086957</v>
      </c>
    </row>
    <row r="265" spans="1:12" ht="19.5" customHeight="1" x14ac:dyDescent="0.35">
      <c r="A265" s="5">
        <v>2556</v>
      </c>
      <c r="B265" s="5">
        <f>46+36+89</f>
        <v>171</v>
      </c>
      <c r="C265" s="6"/>
      <c r="D265" s="6"/>
      <c r="E265" s="6"/>
      <c r="F265" s="6"/>
      <c r="G265" s="6"/>
      <c r="H265" s="6"/>
      <c r="I265" s="29">
        <v>12</v>
      </c>
      <c r="J265" s="29">
        <v>60</v>
      </c>
      <c r="K265" s="9">
        <v>12</v>
      </c>
      <c r="L265" s="21">
        <f t="shared" si="43"/>
        <v>7.0175438596491224</v>
      </c>
    </row>
    <row r="266" spans="1:12" ht="19.5" customHeight="1" x14ac:dyDescent="0.35">
      <c r="A266" s="5">
        <v>2557</v>
      </c>
      <c r="B266" s="5">
        <f>43+39+108</f>
        <v>190</v>
      </c>
      <c r="C266" s="6"/>
      <c r="D266" s="6"/>
      <c r="E266" s="6"/>
      <c r="F266" s="6"/>
      <c r="G266" s="6"/>
      <c r="H266" s="6"/>
      <c r="I266" s="29">
        <v>1</v>
      </c>
      <c r="J266" s="29">
        <v>2</v>
      </c>
      <c r="K266" s="9">
        <v>1</v>
      </c>
      <c r="L266" s="21">
        <v>0</v>
      </c>
    </row>
    <row r="267" spans="1:12" ht="19.5" customHeight="1" x14ac:dyDescent="0.35">
      <c r="A267" s="5">
        <v>2558</v>
      </c>
      <c r="B267" s="5">
        <f>39+45+49+28</f>
        <v>161</v>
      </c>
      <c r="C267" s="6"/>
      <c r="D267" s="6"/>
      <c r="E267" s="6"/>
      <c r="F267" s="6"/>
      <c r="G267" s="6"/>
      <c r="H267" s="6"/>
      <c r="I267" s="9"/>
      <c r="J267" s="9"/>
      <c r="K267" s="9"/>
      <c r="L267" s="21"/>
    </row>
    <row r="268" spans="1:12" ht="19.5" customHeight="1" x14ac:dyDescent="0.35">
      <c r="A268" s="5">
        <v>2559</v>
      </c>
      <c r="B268" s="5">
        <f>44+40+63</f>
        <v>147</v>
      </c>
      <c r="C268" s="6"/>
      <c r="D268" s="6"/>
      <c r="E268" s="6"/>
      <c r="F268" s="6"/>
      <c r="G268" s="6"/>
      <c r="H268" s="6"/>
      <c r="I268" s="9"/>
      <c r="J268" s="9"/>
      <c r="K268" s="9"/>
      <c r="L268" s="21"/>
    </row>
    <row r="269" spans="1:12" ht="19.5" customHeight="1" x14ac:dyDescent="0.35">
      <c r="A269" s="5">
        <v>2560</v>
      </c>
      <c r="B269" s="5">
        <v>167</v>
      </c>
      <c r="C269" s="6"/>
      <c r="D269" s="6"/>
      <c r="E269" s="6"/>
      <c r="F269" s="6"/>
      <c r="G269" s="6"/>
      <c r="H269" s="6"/>
      <c r="I269" s="9"/>
      <c r="J269" s="9"/>
      <c r="K269" s="9"/>
      <c r="L269" s="21"/>
    </row>
    <row r="270" spans="1:12" ht="19.5" customHeight="1" x14ac:dyDescent="0.35">
      <c r="A270" s="19" t="s">
        <v>0</v>
      </c>
      <c r="B270" s="20">
        <f>SUM(B262:B269)</f>
        <v>1229</v>
      </c>
      <c r="C270" s="19"/>
      <c r="D270" s="19"/>
      <c r="E270" s="19">
        <f>SUM(E262:E269)</f>
        <v>2</v>
      </c>
      <c r="F270" s="19">
        <f t="shared" ref="F270:K270" si="44">SUM(F262:F269)</f>
        <v>56</v>
      </c>
      <c r="G270" s="19">
        <f t="shared" si="44"/>
        <v>92</v>
      </c>
      <c r="H270" s="19">
        <f t="shared" si="44"/>
        <v>51</v>
      </c>
      <c r="I270" s="19">
        <f t="shared" si="44"/>
        <v>71</v>
      </c>
      <c r="J270" s="19">
        <f t="shared" si="44"/>
        <v>63</v>
      </c>
      <c r="K270" s="19">
        <f t="shared" si="44"/>
        <v>146</v>
      </c>
      <c r="L270" s="23"/>
    </row>
    <row r="271" spans="1:12" s="4" customFormat="1" ht="12.75" customHeight="1" x14ac:dyDescent="0.4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</row>
    <row r="272" spans="1:12" ht="23.25" x14ac:dyDescent="0.35">
      <c r="A272" s="47" t="s">
        <v>12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</row>
    <row r="273" spans="1:12" ht="23.25" customHeight="1" x14ac:dyDescent="0.35">
      <c r="A273" s="8" t="s">
        <v>18</v>
      </c>
      <c r="B273" s="3"/>
      <c r="C273" s="3"/>
      <c r="D273" s="3"/>
      <c r="E273" s="3"/>
      <c r="F273" s="3"/>
      <c r="G273" s="3"/>
      <c r="H273" s="3"/>
      <c r="I273" s="3"/>
      <c r="J273" s="14"/>
      <c r="K273" s="14"/>
      <c r="L273" s="14"/>
    </row>
    <row r="274" spans="1:12" ht="24" customHeight="1" x14ac:dyDescent="0.35">
      <c r="A274" s="45" t="s">
        <v>15</v>
      </c>
      <c r="B274" s="45" t="s">
        <v>1</v>
      </c>
      <c r="C274" s="49" t="s">
        <v>17</v>
      </c>
      <c r="D274" s="50"/>
      <c r="E274" s="50"/>
      <c r="F274" s="50"/>
      <c r="G274" s="50"/>
      <c r="H274" s="50"/>
      <c r="I274" s="50"/>
      <c r="J274" s="51"/>
      <c r="K274" s="52" t="s">
        <v>28</v>
      </c>
      <c r="L274" s="54" t="s">
        <v>29</v>
      </c>
    </row>
    <row r="275" spans="1:12" ht="41.1" customHeight="1" x14ac:dyDescent="0.35">
      <c r="A275" s="46"/>
      <c r="B275" s="45"/>
      <c r="C275" s="40">
        <v>2553</v>
      </c>
      <c r="D275" s="40">
        <v>2554</v>
      </c>
      <c r="E275" s="41">
        <v>2555</v>
      </c>
      <c r="F275" s="41">
        <v>2556</v>
      </c>
      <c r="G275" s="41">
        <v>2557</v>
      </c>
      <c r="H275" s="41">
        <v>2558</v>
      </c>
      <c r="I275" s="41">
        <v>2559</v>
      </c>
      <c r="J275" s="34">
        <v>2560</v>
      </c>
      <c r="K275" s="53"/>
      <c r="L275" s="55"/>
    </row>
    <row r="276" spans="1:12" ht="19.5" customHeight="1" x14ac:dyDescent="0.35">
      <c r="A276" s="5">
        <v>2553</v>
      </c>
      <c r="B276" s="5"/>
      <c r="C276" s="6"/>
      <c r="D276" s="6"/>
      <c r="E276" s="6"/>
      <c r="F276" s="6"/>
      <c r="G276" s="6"/>
      <c r="H276" s="6"/>
      <c r="I276" s="9"/>
      <c r="J276" s="9"/>
      <c r="K276" s="9"/>
      <c r="L276" s="21"/>
    </row>
    <row r="277" spans="1:12" ht="19.5" customHeight="1" x14ac:dyDescent="0.35">
      <c r="A277" s="5">
        <v>2554</v>
      </c>
      <c r="B277" s="5">
        <v>21</v>
      </c>
      <c r="C277" s="6"/>
      <c r="D277" s="6">
        <v>19</v>
      </c>
      <c r="E277" s="6">
        <v>16</v>
      </c>
      <c r="F277" s="6">
        <v>11</v>
      </c>
      <c r="G277" s="28">
        <v>11</v>
      </c>
      <c r="H277" s="6">
        <v>0</v>
      </c>
      <c r="I277" s="9">
        <v>0</v>
      </c>
      <c r="J277" s="9">
        <v>0</v>
      </c>
      <c r="K277" s="9">
        <v>10</v>
      </c>
      <c r="L277" s="21">
        <f>G277*100/B277</f>
        <v>52.38095238095238</v>
      </c>
    </row>
    <row r="278" spans="1:12" ht="19.5" customHeight="1" x14ac:dyDescent="0.35">
      <c r="A278" s="5">
        <v>2555</v>
      </c>
      <c r="B278" s="5"/>
      <c r="C278" s="6"/>
      <c r="D278" s="6"/>
      <c r="E278" s="6"/>
      <c r="F278" s="6"/>
      <c r="G278" s="6"/>
      <c r="H278" s="6"/>
      <c r="I278" s="9"/>
      <c r="J278" s="9"/>
      <c r="K278" s="9"/>
      <c r="L278" s="21"/>
    </row>
    <row r="279" spans="1:12" ht="19.5" customHeight="1" x14ac:dyDescent="0.35">
      <c r="A279" s="5">
        <v>2556</v>
      </c>
      <c r="B279" s="5">
        <v>31</v>
      </c>
      <c r="C279" s="6"/>
      <c r="D279" s="6"/>
      <c r="E279" s="6"/>
      <c r="F279" s="6">
        <v>22</v>
      </c>
      <c r="G279" s="6">
        <v>20</v>
      </c>
      <c r="H279" s="6">
        <v>20</v>
      </c>
      <c r="I279" s="29">
        <v>20</v>
      </c>
      <c r="J279" s="12">
        <v>1</v>
      </c>
      <c r="K279" s="9">
        <v>11</v>
      </c>
      <c r="L279" s="21">
        <f>I279*100/B279</f>
        <v>64.516129032258064</v>
      </c>
    </row>
    <row r="280" spans="1:12" ht="19.5" customHeight="1" x14ac:dyDescent="0.35">
      <c r="A280" s="5">
        <v>2557</v>
      </c>
      <c r="B280" s="5"/>
      <c r="C280" s="6"/>
      <c r="D280" s="6"/>
      <c r="E280" s="6"/>
      <c r="F280" s="6"/>
      <c r="G280" s="6"/>
      <c r="H280" s="6"/>
      <c r="I280" s="9"/>
      <c r="J280" s="9"/>
      <c r="K280" s="9"/>
      <c r="L280" s="21"/>
    </row>
    <row r="281" spans="1:12" ht="19.5" customHeight="1" x14ac:dyDescent="0.35">
      <c r="A281" s="5">
        <v>2558</v>
      </c>
      <c r="B281" s="5">
        <v>37</v>
      </c>
      <c r="C281" s="6"/>
      <c r="D281" s="6"/>
      <c r="E281" s="6"/>
      <c r="F281" s="6"/>
      <c r="G281" s="6"/>
      <c r="H281" s="6">
        <v>30</v>
      </c>
      <c r="I281" s="12">
        <v>29</v>
      </c>
      <c r="J281" s="29">
        <v>29</v>
      </c>
      <c r="K281" s="9">
        <v>8</v>
      </c>
      <c r="L281" s="21">
        <f>J281*100/B281</f>
        <v>78.378378378378372</v>
      </c>
    </row>
    <row r="282" spans="1:12" ht="19.5" customHeight="1" x14ac:dyDescent="0.35">
      <c r="A282" s="5">
        <v>2559</v>
      </c>
      <c r="B282" s="5">
        <v>11</v>
      </c>
      <c r="C282" s="6"/>
      <c r="D282" s="6"/>
      <c r="E282" s="6"/>
      <c r="F282" s="6"/>
      <c r="G282" s="6"/>
      <c r="H282" s="6"/>
      <c r="I282" s="12">
        <v>10</v>
      </c>
      <c r="J282" s="29">
        <v>8</v>
      </c>
      <c r="K282" s="9">
        <v>3</v>
      </c>
      <c r="L282" s="21">
        <f t="shared" ref="L282:L283" si="45">J282*100/B282</f>
        <v>72.727272727272734</v>
      </c>
    </row>
    <row r="283" spans="1:12" ht="19.5" customHeight="1" x14ac:dyDescent="0.35">
      <c r="A283" s="5">
        <v>2560</v>
      </c>
      <c r="B283" s="5">
        <v>11</v>
      </c>
      <c r="C283" s="6"/>
      <c r="D283" s="6"/>
      <c r="E283" s="6"/>
      <c r="F283" s="6"/>
      <c r="G283" s="6"/>
      <c r="H283" s="6"/>
      <c r="I283" s="12"/>
      <c r="J283" s="29">
        <v>10</v>
      </c>
      <c r="K283" s="9">
        <v>1</v>
      </c>
      <c r="L283" s="21">
        <f t="shared" si="45"/>
        <v>90.909090909090907</v>
      </c>
    </row>
    <row r="284" spans="1:12" ht="19.5" customHeight="1" x14ac:dyDescent="0.35">
      <c r="A284" s="7" t="s">
        <v>0</v>
      </c>
      <c r="B284" s="7">
        <f>SUM(B276:B283)</f>
        <v>111</v>
      </c>
      <c r="C284" s="7"/>
      <c r="D284" s="7">
        <f>SUM(D276:D283)</f>
        <v>19</v>
      </c>
      <c r="E284" s="7">
        <f t="shared" ref="E284:K284" si="46">SUM(E276:E283)</f>
        <v>16</v>
      </c>
      <c r="F284" s="7">
        <f t="shared" si="46"/>
        <v>33</v>
      </c>
      <c r="G284" s="7">
        <f t="shared" si="46"/>
        <v>31</v>
      </c>
      <c r="H284" s="7">
        <f t="shared" si="46"/>
        <v>50</v>
      </c>
      <c r="I284" s="7">
        <f t="shared" si="46"/>
        <v>59</v>
      </c>
      <c r="J284" s="7">
        <f t="shared" si="46"/>
        <v>48</v>
      </c>
      <c r="K284" s="7">
        <f t="shared" si="46"/>
        <v>33</v>
      </c>
      <c r="L284" s="22"/>
    </row>
    <row r="285" spans="1:12" ht="22.5" customHeight="1" x14ac:dyDescent="0.35"/>
    <row r="286" spans="1:12" ht="23.25" customHeight="1" x14ac:dyDescent="0.35">
      <c r="A286" s="8" t="s">
        <v>19</v>
      </c>
      <c r="B286" s="3"/>
      <c r="C286" s="3"/>
      <c r="D286" s="3"/>
      <c r="E286" s="3"/>
      <c r="F286" s="3"/>
      <c r="G286" s="3"/>
      <c r="H286" s="3"/>
      <c r="I286" s="3"/>
      <c r="J286" s="14"/>
      <c r="K286" s="14"/>
      <c r="L286" s="14"/>
    </row>
    <row r="287" spans="1:12" ht="24" customHeight="1" x14ac:dyDescent="0.35">
      <c r="A287" s="60" t="s">
        <v>15</v>
      </c>
      <c r="B287" s="60" t="s">
        <v>1</v>
      </c>
      <c r="C287" s="62" t="s">
        <v>20</v>
      </c>
      <c r="D287" s="63"/>
      <c r="E287" s="63"/>
      <c r="F287" s="63"/>
      <c r="G287" s="63"/>
      <c r="H287" s="63"/>
      <c r="I287" s="63"/>
      <c r="J287" s="64"/>
      <c r="K287" s="56" t="s">
        <v>21</v>
      </c>
      <c r="L287" s="58" t="s">
        <v>23</v>
      </c>
    </row>
    <row r="288" spans="1:12" ht="41.1" customHeight="1" x14ac:dyDescent="0.35">
      <c r="A288" s="61"/>
      <c r="B288" s="60"/>
      <c r="C288" s="42">
        <v>2553</v>
      </c>
      <c r="D288" s="42">
        <v>2554</v>
      </c>
      <c r="E288" s="43">
        <v>2555</v>
      </c>
      <c r="F288" s="43">
        <v>2556</v>
      </c>
      <c r="G288" s="43">
        <v>2557</v>
      </c>
      <c r="H288" s="43">
        <v>2558</v>
      </c>
      <c r="I288" s="43">
        <v>2559</v>
      </c>
      <c r="J288" s="35">
        <v>2560</v>
      </c>
      <c r="K288" s="57"/>
      <c r="L288" s="59"/>
    </row>
    <row r="289" spans="1:12" ht="19.5" customHeight="1" x14ac:dyDescent="0.35">
      <c r="A289" s="5">
        <v>2553</v>
      </c>
      <c r="B289" s="5"/>
      <c r="C289" s="6"/>
      <c r="D289" s="6"/>
      <c r="E289" s="6"/>
      <c r="F289" s="6"/>
      <c r="G289" s="6"/>
      <c r="H289" s="6"/>
      <c r="I289" s="9"/>
      <c r="J289" s="9"/>
      <c r="K289" s="9"/>
      <c r="L289" s="21"/>
    </row>
    <row r="290" spans="1:12" ht="19.5" customHeight="1" x14ac:dyDescent="0.35">
      <c r="A290" s="5">
        <v>2554</v>
      </c>
      <c r="B290" s="5">
        <v>21</v>
      </c>
      <c r="C290" s="6"/>
      <c r="D290" s="6"/>
      <c r="E290" s="6"/>
      <c r="F290" s="6"/>
      <c r="G290" s="28">
        <v>11</v>
      </c>
      <c r="H290" s="6">
        <v>0</v>
      </c>
      <c r="I290" s="9">
        <v>0</v>
      </c>
      <c r="J290" s="9">
        <v>0</v>
      </c>
      <c r="K290" s="9">
        <v>11</v>
      </c>
      <c r="L290" s="21">
        <f t="shared" ref="L290:L292" si="47">K290*100/B290</f>
        <v>52.38095238095238</v>
      </c>
    </row>
    <row r="291" spans="1:12" ht="19.5" customHeight="1" x14ac:dyDescent="0.35">
      <c r="A291" s="5">
        <v>2555</v>
      </c>
      <c r="B291" s="5"/>
      <c r="C291" s="6"/>
      <c r="D291" s="6"/>
      <c r="E291" s="6"/>
      <c r="F291" s="6"/>
      <c r="G291" s="6"/>
      <c r="H291" s="6"/>
      <c r="I291" s="9"/>
      <c r="J291" s="9"/>
      <c r="K291" s="9"/>
      <c r="L291" s="21"/>
    </row>
    <row r="292" spans="1:12" ht="19.5" customHeight="1" x14ac:dyDescent="0.35">
      <c r="A292" s="5">
        <v>2556</v>
      </c>
      <c r="B292" s="5">
        <v>31</v>
      </c>
      <c r="C292" s="6"/>
      <c r="D292" s="6"/>
      <c r="E292" s="6"/>
      <c r="F292" s="6"/>
      <c r="G292" s="6"/>
      <c r="H292" s="6"/>
      <c r="I292" s="29">
        <v>18</v>
      </c>
      <c r="J292" s="29">
        <v>0</v>
      </c>
      <c r="K292" s="9">
        <v>18</v>
      </c>
      <c r="L292" s="21">
        <f t="shared" si="47"/>
        <v>58.064516129032256</v>
      </c>
    </row>
    <row r="293" spans="1:12" ht="19.5" customHeight="1" x14ac:dyDescent="0.35">
      <c r="A293" s="5">
        <v>2557</v>
      </c>
      <c r="B293" s="5"/>
      <c r="C293" s="6"/>
      <c r="D293" s="6"/>
      <c r="E293" s="6"/>
      <c r="F293" s="6"/>
      <c r="G293" s="6"/>
      <c r="H293" s="6"/>
      <c r="I293" s="9"/>
      <c r="J293" s="9"/>
      <c r="K293" s="9"/>
      <c r="L293" s="21"/>
    </row>
    <row r="294" spans="1:12" ht="19.5" customHeight="1" x14ac:dyDescent="0.35">
      <c r="A294" s="5">
        <v>2558</v>
      </c>
      <c r="B294" s="5">
        <v>37</v>
      </c>
      <c r="C294" s="6"/>
      <c r="D294" s="6"/>
      <c r="E294" s="6"/>
      <c r="F294" s="6"/>
      <c r="G294" s="6"/>
      <c r="H294" s="6"/>
      <c r="I294" s="9"/>
      <c r="J294" s="9"/>
      <c r="K294" s="9"/>
      <c r="L294" s="21"/>
    </row>
    <row r="295" spans="1:12" ht="19.5" customHeight="1" x14ac:dyDescent="0.35">
      <c r="A295" s="5">
        <v>2559</v>
      </c>
      <c r="B295" s="5">
        <v>11</v>
      </c>
      <c r="C295" s="6"/>
      <c r="D295" s="6"/>
      <c r="E295" s="6"/>
      <c r="F295" s="6"/>
      <c r="G295" s="6"/>
      <c r="H295" s="6"/>
      <c r="I295" s="9"/>
      <c r="J295" s="9"/>
      <c r="K295" s="9"/>
      <c r="L295" s="21"/>
    </row>
    <row r="296" spans="1:12" ht="19.5" customHeight="1" x14ac:dyDescent="0.35">
      <c r="A296" s="5">
        <v>2560</v>
      </c>
      <c r="B296" s="5">
        <v>11</v>
      </c>
      <c r="C296" s="6"/>
      <c r="D296" s="6"/>
      <c r="E296" s="6"/>
      <c r="F296" s="6"/>
      <c r="G296" s="6"/>
      <c r="H296" s="6"/>
      <c r="I296" s="9"/>
      <c r="J296" s="9"/>
      <c r="K296" s="9"/>
      <c r="L296" s="21"/>
    </row>
    <row r="297" spans="1:12" ht="19.5" customHeight="1" x14ac:dyDescent="0.35">
      <c r="A297" s="19" t="s">
        <v>0</v>
      </c>
      <c r="B297" s="19">
        <f>SUM(B289:B296)</f>
        <v>111</v>
      </c>
      <c r="C297" s="19"/>
      <c r="D297" s="19"/>
      <c r="E297" s="19"/>
      <c r="F297" s="19"/>
      <c r="G297" s="19">
        <f>SUM(G289:G296)</f>
        <v>11</v>
      </c>
      <c r="H297" s="19">
        <f t="shared" ref="H297:K297" si="48">SUM(H289:H296)</f>
        <v>0</v>
      </c>
      <c r="I297" s="19">
        <f t="shared" si="48"/>
        <v>18</v>
      </c>
      <c r="J297" s="19">
        <f t="shared" si="48"/>
        <v>0</v>
      </c>
      <c r="K297" s="19">
        <f t="shared" si="48"/>
        <v>29</v>
      </c>
      <c r="L297" s="23"/>
    </row>
    <row r="298" spans="1:12" ht="12.75" customHeight="1" x14ac:dyDescent="0.35"/>
    <row r="299" spans="1:12" ht="23.25" x14ac:dyDescent="0.35">
      <c r="A299" s="48" t="s">
        <v>13</v>
      </c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1:12" ht="23.25" customHeight="1" x14ac:dyDescent="0.35">
      <c r="A300" s="8" t="s">
        <v>18</v>
      </c>
      <c r="B300" s="3"/>
      <c r="C300" s="3"/>
      <c r="D300" s="3"/>
      <c r="E300" s="3"/>
      <c r="F300" s="3"/>
      <c r="G300" s="3"/>
      <c r="H300" s="3"/>
      <c r="I300" s="3"/>
      <c r="J300" s="14"/>
      <c r="K300" s="14"/>
      <c r="L300" s="14"/>
    </row>
    <row r="301" spans="1:12" ht="24" customHeight="1" x14ac:dyDescent="0.35">
      <c r="A301" s="45" t="s">
        <v>15</v>
      </c>
      <c r="B301" s="45" t="s">
        <v>1</v>
      </c>
      <c r="C301" s="49" t="s">
        <v>17</v>
      </c>
      <c r="D301" s="50"/>
      <c r="E301" s="50"/>
      <c r="F301" s="50"/>
      <c r="G301" s="50"/>
      <c r="H301" s="50"/>
      <c r="I301" s="50"/>
      <c r="J301" s="51"/>
      <c r="K301" s="52" t="s">
        <v>28</v>
      </c>
      <c r="L301" s="54" t="s">
        <v>29</v>
      </c>
    </row>
    <row r="302" spans="1:12" ht="41.1" customHeight="1" x14ac:dyDescent="0.35">
      <c r="A302" s="46"/>
      <c r="B302" s="45"/>
      <c r="C302" s="40">
        <v>2553</v>
      </c>
      <c r="D302" s="40">
        <v>2554</v>
      </c>
      <c r="E302" s="41">
        <v>2555</v>
      </c>
      <c r="F302" s="41">
        <v>2556</v>
      </c>
      <c r="G302" s="41">
        <v>2557</v>
      </c>
      <c r="H302" s="41">
        <v>2558</v>
      </c>
      <c r="I302" s="41">
        <v>2559</v>
      </c>
      <c r="J302" s="34">
        <v>2560</v>
      </c>
      <c r="K302" s="53"/>
      <c r="L302" s="55"/>
    </row>
    <row r="303" spans="1:12" ht="19.5" customHeight="1" x14ac:dyDescent="0.35">
      <c r="A303" s="5">
        <v>2553</v>
      </c>
      <c r="B303" s="5">
        <f>24+31+20</f>
        <v>75</v>
      </c>
      <c r="C303" s="6">
        <f>48+11</f>
        <v>59</v>
      </c>
      <c r="D303" s="6">
        <f>42+3</f>
        <v>45</v>
      </c>
      <c r="E303" s="6">
        <f>42+3</f>
        <v>45</v>
      </c>
      <c r="F303" s="28">
        <f>B303-K303</f>
        <v>42</v>
      </c>
      <c r="G303" s="6">
        <v>2</v>
      </c>
      <c r="H303" s="6">
        <v>2</v>
      </c>
      <c r="I303" s="9">
        <v>1</v>
      </c>
      <c r="J303" s="9">
        <v>1</v>
      </c>
      <c r="K303" s="9">
        <v>33</v>
      </c>
      <c r="L303" s="21">
        <f>F303*100/B303</f>
        <v>56</v>
      </c>
    </row>
    <row r="304" spans="1:12" ht="19.5" customHeight="1" x14ac:dyDescent="0.35">
      <c r="A304" s="5">
        <v>2554</v>
      </c>
      <c r="B304" s="5">
        <f>27+30</f>
        <v>57</v>
      </c>
      <c r="C304" s="6"/>
      <c r="D304" s="6">
        <v>45</v>
      </c>
      <c r="E304" s="6">
        <v>46</v>
      </c>
      <c r="F304" s="6">
        <v>42</v>
      </c>
      <c r="G304" s="28">
        <f>B304-K304</f>
        <v>41</v>
      </c>
      <c r="H304" s="6">
        <v>7</v>
      </c>
      <c r="I304" s="9">
        <v>4</v>
      </c>
      <c r="J304" s="9">
        <v>5</v>
      </c>
      <c r="K304" s="9">
        <v>16</v>
      </c>
      <c r="L304" s="21">
        <f>G304*100/B304</f>
        <v>71.929824561403507</v>
      </c>
    </row>
    <row r="305" spans="1:12" ht="19.5" customHeight="1" x14ac:dyDescent="0.35">
      <c r="A305" s="5">
        <v>2555</v>
      </c>
      <c r="B305" s="5">
        <f>22+28</f>
        <v>50</v>
      </c>
      <c r="C305" s="6"/>
      <c r="D305" s="6"/>
      <c r="E305" s="6">
        <v>44</v>
      </c>
      <c r="F305" s="6">
        <f>43+18</f>
        <v>61</v>
      </c>
      <c r="G305" s="6">
        <f>39+14</f>
        <v>53</v>
      </c>
      <c r="H305" s="28">
        <f>B305-K305</f>
        <v>35</v>
      </c>
      <c r="I305" s="9">
        <f>2+12</f>
        <v>14</v>
      </c>
      <c r="J305" s="9">
        <v>1</v>
      </c>
      <c r="K305" s="9">
        <v>15</v>
      </c>
      <c r="L305" s="21">
        <f>H305*100/B305</f>
        <v>70</v>
      </c>
    </row>
    <row r="306" spans="1:12" ht="19.5" customHeight="1" x14ac:dyDescent="0.35">
      <c r="A306" s="5">
        <v>2556</v>
      </c>
      <c r="B306" s="5">
        <f>23+27+30+37+18</f>
        <v>135</v>
      </c>
      <c r="C306" s="6"/>
      <c r="D306" s="6"/>
      <c r="E306" s="6"/>
      <c r="F306" s="6">
        <v>93</v>
      </c>
      <c r="G306" s="6">
        <v>78</v>
      </c>
      <c r="H306" s="6">
        <v>68</v>
      </c>
      <c r="I306" s="29">
        <f>B306-K306</f>
        <v>76</v>
      </c>
      <c r="J306" s="12">
        <v>22</v>
      </c>
      <c r="K306" s="9">
        <v>59</v>
      </c>
      <c r="L306" s="21">
        <f>I306*100/B306</f>
        <v>56.296296296296298</v>
      </c>
    </row>
    <row r="307" spans="1:12" ht="19.5" customHeight="1" x14ac:dyDescent="0.35">
      <c r="A307" s="5">
        <v>2557</v>
      </c>
      <c r="B307" s="5">
        <f>26+37+62</f>
        <v>125</v>
      </c>
      <c r="C307" s="6"/>
      <c r="D307" s="6"/>
      <c r="E307" s="6"/>
      <c r="F307" s="6"/>
      <c r="G307" s="6">
        <v>100</v>
      </c>
      <c r="H307" s="6">
        <v>88</v>
      </c>
      <c r="I307" s="12">
        <f t="shared" ref="I307:I309" si="49">B307-K307</f>
        <v>83</v>
      </c>
      <c r="J307" s="29">
        <v>83</v>
      </c>
      <c r="K307" s="9">
        <v>42</v>
      </c>
      <c r="L307" s="21">
        <f>J307*100/B307</f>
        <v>66.400000000000006</v>
      </c>
    </row>
    <row r="308" spans="1:12" ht="19.5" customHeight="1" x14ac:dyDescent="0.35">
      <c r="A308" s="5">
        <v>2558</v>
      </c>
      <c r="B308" s="5">
        <f>28+40+40</f>
        <v>108</v>
      </c>
      <c r="C308" s="6"/>
      <c r="D308" s="6"/>
      <c r="E308" s="6"/>
      <c r="F308" s="6"/>
      <c r="G308" s="6"/>
      <c r="H308" s="6">
        <v>88</v>
      </c>
      <c r="I308" s="12">
        <f t="shared" si="49"/>
        <v>73</v>
      </c>
      <c r="J308" s="29">
        <v>73</v>
      </c>
      <c r="K308" s="9">
        <v>35</v>
      </c>
      <c r="L308" s="21">
        <f t="shared" ref="L308:L310" si="50">J308*100/B308</f>
        <v>67.592592592592595</v>
      </c>
    </row>
    <row r="309" spans="1:12" ht="19.5" customHeight="1" x14ac:dyDescent="0.35">
      <c r="A309" s="5">
        <v>2559</v>
      </c>
      <c r="B309" s="5">
        <f>23+56+10</f>
        <v>89</v>
      </c>
      <c r="C309" s="6"/>
      <c r="D309" s="6"/>
      <c r="E309" s="6"/>
      <c r="F309" s="6"/>
      <c r="G309" s="6"/>
      <c r="H309" s="6"/>
      <c r="I309" s="12">
        <f t="shared" si="49"/>
        <v>59</v>
      </c>
      <c r="J309" s="29">
        <v>59</v>
      </c>
      <c r="K309" s="9">
        <v>30</v>
      </c>
      <c r="L309" s="21">
        <f t="shared" si="50"/>
        <v>66.292134831460672</v>
      </c>
    </row>
    <row r="310" spans="1:12" ht="19.5" customHeight="1" x14ac:dyDescent="0.35">
      <c r="A310" s="5">
        <v>2560</v>
      </c>
      <c r="B310" s="5">
        <v>84</v>
      </c>
      <c r="C310" s="6"/>
      <c r="D310" s="6"/>
      <c r="E310" s="6"/>
      <c r="F310" s="6"/>
      <c r="G310" s="6"/>
      <c r="H310" s="6"/>
      <c r="I310" s="12"/>
      <c r="J310" s="29">
        <v>83</v>
      </c>
      <c r="K310" s="9">
        <v>1</v>
      </c>
      <c r="L310" s="21">
        <f t="shared" si="50"/>
        <v>98.80952380952381</v>
      </c>
    </row>
    <row r="311" spans="1:12" ht="19.5" customHeight="1" x14ac:dyDescent="0.35">
      <c r="A311" s="7" t="s">
        <v>0</v>
      </c>
      <c r="B311" s="7">
        <f>SUM(B303:B310)</f>
        <v>723</v>
      </c>
      <c r="C311" s="7">
        <f t="shared" ref="C311:K311" si="51">SUM(C303:C310)</f>
        <v>59</v>
      </c>
      <c r="D311" s="7">
        <f t="shared" si="51"/>
        <v>90</v>
      </c>
      <c r="E311" s="7">
        <f t="shared" si="51"/>
        <v>135</v>
      </c>
      <c r="F311" s="7">
        <f t="shared" si="51"/>
        <v>238</v>
      </c>
      <c r="G311" s="7">
        <f t="shared" si="51"/>
        <v>274</v>
      </c>
      <c r="H311" s="7">
        <f t="shared" si="51"/>
        <v>288</v>
      </c>
      <c r="I311" s="7">
        <f t="shared" si="51"/>
        <v>310</v>
      </c>
      <c r="J311" s="7">
        <f t="shared" si="51"/>
        <v>327</v>
      </c>
      <c r="K311" s="7">
        <f t="shared" si="51"/>
        <v>231</v>
      </c>
      <c r="L311" s="22"/>
    </row>
    <row r="312" spans="1:12" ht="18.75" customHeight="1" x14ac:dyDescent="0.35"/>
    <row r="313" spans="1:12" ht="23.25" customHeight="1" x14ac:dyDescent="0.35">
      <c r="A313" s="8" t="s">
        <v>19</v>
      </c>
      <c r="B313" s="3"/>
      <c r="C313" s="3"/>
      <c r="D313" s="3"/>
      <c r="E313" s="3"/>
      <c r="F313" s="3"/>
      <c r="G313" s="3"/>
      <c r="H313" s="3"/>
      <c r="I313" s="3"/>
      <c r="J313" s="14"/>
      <c r="K313" s="14"/>
      <c r="L313" s="14"/>
    </row>
    <row r="314" spans="1:12" ht="24" customHeight="1" x14ac:dyDescent="0.35">
      <c r="A314" s="60" t="s">
        <v>15</v>
      </c>
      <c r="B314" s="60" t="s">
        <v>1</v>
      </c>
      <c r="C314" s="62" t="s">
        <v>20</v>
      </c>
      <c r="D314" s="63"/>
      <c r="E314" s="63"/>
      <c r="F314" s="63"/>
      <c r="G314" s="63"/>
      <c r="H314" s="63"/>
      <c r="I314" s="63"/>
      <c r="J314" s="64"/>
      <c r="K314" s="56" t="s">
        <v>21</v>
      </c>
      <c r="L314" s="58" t="s">
        <v>23</v>
      </c>
    </row>
    <row r="315" spans="1:12" ht="41.1" customHeight="1" x14ac:dyDescent="0.35">
      <c r="A315" s="61"/>
      <c r="B315" s="60"/>
      <c r="C315" s="42">
        <v>2553</v>
      </c>
      <c r="D315" s="42">
        <v>2554</v>
      </c>
      <c r="E315" s="43">
        <v>2555</v>
      </c>
      <c r="F315" s="43">
        <v>2556</v>
      </c>
      <c r="G315" s="43">
        <v>2557</v>
      </c>
      <c r="H315" s="43">
        <v>2558</v>
      </c>
      <c r="I315" s="43">
        <v>2559</v>
      </c>
      <c r="J315" s="35">
        <v>2560</v>
      </c>
      <c r="K315" s="57"/>
      <c r="L315" s="59"/>
    </row>
    <row r="316" spans="1:12" ht="19.5" customHeight="1" x14ac:dyDescent="0.35">
      <c r="A316" s="5">
        <v>2553</v>
      </c>
      <c r="B316" s="5">
        <f>24+31+20</f>
        <v>75</v>
      </c>
      <c r="C316" s="6"/>
      <c r="D316" s="6"/>
      <c r="E316" s="6"/>
      <c r="F316" s="28">
        <v>23</v>
      </c>
      <c r="G316" s="6">
        <f>14+3</f>
        <v>17</v>
      </c>
      <c r="H316" s="6">
        <v>1</v>
      </c>
      <c r="I316" s="9">
        <v>0</v>
      </c>
      <c r="J316" s="9">
        <v>0</v>
      </c>
      <c r="K316" s="9">
        <v>23</v>
      </c>
      <c r="L316" s="21">
        <f>K316*100/B316</f>
        <v>30.666666666666668</v>
      </c>
    </row>
    <row r="317" spans="1:12" ht="19.5" customHeight="1" x14ac:dyDescent="0.35">
      <c r="A317" s="5">
        <v>2554</v>
      </c>
      <c r="B317" s="5">
        <f>27+30</f>
        <v>57</v>
      </c>
      <c r="C317" s="6"/>
      <c r="D317" s="6"/>
      <c r="E317" s="6"/>
      <c r="F317" s="6"/>
      <c r="G317" s="28">
        <v>30</v>
      </c>
      <c r="H317" s="6">
        <v>4</v>
      </c>
      <c r="I317" s="9">
        <v>2</v>
      </c>
      <c r="J317" s="9">
        <v>0</v>
      </c>
      <c r="K317" s="9">
        <v>30</v>
      </c>
      <c r="L317" s="21">
        <f t="shared" ref="L317:L319" si="52">K317*100/B317</f>
        <v>52.631578947368418</v>
      </c>
    </row>
    <row r="318" spans="1:12" ht="19.5" customHeight="1" x14ac:dyDescent="0.35">
      <c r="A318" s="5">
        <v>2555</v>
      </c>
      <c r="B318" s="5">
        <f>22+28</f>
        <v>50</v>
      </c>
      <c r="C318" s="6"/>
      <c r="D318" s="6"/>
      <c r="E318" s="6"/>
      <c r="F318" s="6"/>
      <c r="G318" s="6"/>
      <c r="H318" s="28">
        <v>27</v>
      </c>
      <c r="I318" s="9">
        <v>6</v>
      </c>
      <c r="J318" s="9">
        <v>1</v>
      </c>
      <c r="K318" s="9">
        <v>27</v>
      </c>
      <c r="L318" s="21">
        <f t="shared" si="52"/>
        <v>54</v>
      </c>
    </row>
    <row r="319" spans="1:12" ht="19.5" customHeight="1" x14ac:dyDescent="0.35">
      <c r="A319" s="5">
        <v>2556</v>
      </c>
      <c r="B319" s="5">
        <f>23+27+30+37+18</f>
        <v>135</v>
      </c>
      <c r="C319" s="6"/>
      <c r="D319" s="6"/>
      <c r="E319" s="6"/>
      <c r="F319" s="6"/>
      <c r="G319" s="6"/>
      <c r="H319" s="6"/>
      <c r="I319" s="29">
        <v>43</v>
      </c>
      <c r="J319" s="29">
        <v>11</v>
      </c>
      <c r="K319" s="9">
        <v>43</v>
      </c>
      <c r="L319" s="21">
        <f t="shared" si="52"/>
        <v>31.851851851851851</v>
      </c>
    </row>
    <row r="320" spans="1:12" ht="19.5" customHeight="1" x14ac:dyDescent="0.35">
      <c r="A320" s="5">
        <v>2557</v>
      </c>
      <c r="B320" s="5">
        <f>26+37+62</f>
        <v>125</v>
      </c>
      <c r="C320" s="6"/>
      <c r="D320" s="6"/>
      <c r="E320" s="6"/>
      <c r="F320" s="6"/>
      <c r="G320" s="6"/>
      <c r="H320" s="6"/>
      <c r="I320" s="9"/>
      <c r="J320" s="9"/>
      <c r="K320" s="9"/>
      <c r="L320" s="21"/>
    </row>
    <row r="321" spans="1:12" ht="19.5" customHeight="1" x14ac:dyDescent="0.35">
      <c r="A321" s="5">
        <v>2558</v>
      </c>
      <c r="B321" s="5">
        <f>28+40+40</f>
        <v>108</v>
      </c>
      <c r="C321" s="6"/>
      <c r="D321" s="6"/>
      <c r="E321" s="6"/>
      <c r="F321" s="6"/>
      <c r="G321" s="6"/>
      <c r="H321" s="6"/>
      <c r="I321" s="9"/>
      <c r="J321" s="9"/>
      <c r="K321" s="9"/>
      <c r="L321" s="21"/>
    </row>
    <row r="322" spans="1:12" ht="19.5" customHeight="1" x14ac:dyDescent="0.35">
      <c r="A322" s="5">
        <v>2559</v>
      </c>
      <c r="B322" s="5">
        <f>23+56+10</f>
        <v>89</v>
      </c>
      <c r="C322" s="6"/>
      <c r="D322" s="6"/>
      <c r="E322" s="6"/>
      <c r="F322" s="6"/>
      <c r="G322" s="6"/>
      <c r="H322" s="6"/>
      <c r="I322" s="9"/>
      <c r="J322" s="9"/>
      <c r="K322" s="9"/>
      <c r="L322" s="21"/>
    </row>
    <row r="323" spans="1:12" ht="19.5" customHeight="1" x14ac:dyDescent="0.35">
      <c r="A323" s="5">
        <v>2560</v>
      </c>
      <c r="B323" s="5">
        <v>84</v>
      </c>
      <c r="C323" s="6"/>
      <c r="D323" s="6"/>
      <c r="E323" s="6"/>
      <c r="F323" s="6"/>
      <c r="G323" s="6"/>
      <c r="H323" s="6"/>
      <c r="I323" s="9"/>
      <c r="J323" s="9"/>
      <c r="K323" s="9"/>
      <c r="L323" s="21"/>
    </row>
    <row r="324" spans="1:12" ht="19.5" customHeight="1" x14ac:dyDescent="0.35">
      <c r="A324" s="19" t="s">
        <v>0</v>
      </c>
      <c r="B324" s="19">
        <f>SUM(B316:B323)</f>
        <v>723</v>
      </c>
      <c r="C324" s="19"/>
      <c r="D324" s="19"/>
      <c r="E324" s="19"/>
      <c r="F324" s="19">
        <f>SUM(F316:F323)</f>
        <v>23</v>
      </c>
      <c r="G324" s="19">
        <f t="shared" ref="G324:K324" si="53">SUM(G316:G323)</f>
        <v>47</v>
      </c>
      <c r="H324" s="19">
        <f t="shared" si="53"/>
        <v>32</v>
      </c>
      <c r="I324" s="19">
        <f t="shared" si="53"/>
        <v>51</v>
      </c>
      <c r="J324" s="19">
        <f t="shared" si="53"/>
        <v>12</v>
      </c>
      <c r="K324" s="19">
        <f t="shared" si="53"/>
        <v>123</v>
      </c>
      <c r="L324" s="23"/>
    </row>
    <row r="325" spans="1:12" x14ac:dyDescent="0.35">
      <c r="L325" s="25" t="s">
        <v>27</v>
      </c>
    </row>
  </sheetData>
  <mergeCells count="133">
    <mergeCell ref="A17:A18"/>
    <mergeCell ref="B17:B18"/>
    <mergeCell ref="K17:K18"/>
    <mergeCell ref="L17:L18"/>
    <mergeCell ref="A28:L28"/>
    <mergeCell ref="C17:J17"/>
    <mergeCell ref="A2:L2"/>
    <mergeCell ref="A3:L3"/>
    <mergeCell ref="A5:A6"/>
    <mergeCell ref="B5:B6"/>
    <mergeCell ref="K5:K6"/>
    <mergeCell ref="L5:L6"/>
    <mergeCell ref="C5:J5"/>
    <mergeCell ref="A84:A85"/>
    <mergeCell ref="B84:B85"/>
    <mergeCell ref="K84:K85"/>
    <mergeCell ref="L84:L85"/>
    <mergeCell ref="A97:A98"/>
    <mergeCell ref="B97:B98"/>
    <mergeCell ref="K97:K98"/>
    <mergeCell ref="L97:L98"/>
    <mergeCell ref="A70:A71"/>
    <mergeCell ref="B70:B71"/>
    <mergeCell ref="K70:K71"/>
    <mergeCell ref="L70:L71"/>
    <mergeCell ref="A82:L82"/>
    <mergeCell ref="B125:B126"/>
    <mergeCell ref="K125:K126"/>
    <mergeCell ref="L125:L126"/>
    <mergeCell ref="A137:L137"/>
    <mergeCell ref="A110:L110"/>
    <mergeCell ref="A112:A113"/>
    <mergeCell ref="B112:B113"/>
    <mergeCell ref="K112:K113"/>
    <mergeCell ref="L112:L113"/>
    <mergeCell ref="A164:L164"/>
    <mergeCell ref="A166:A167"/>
    <mergeCell ref="B166:B167"/>
    <mergeCell ref="K166:K167"/>
    <mergeCell ref="L166:L167"/>
    <mergeCell ref="A139:A140"/>
    <mergeCell ref="B139:B140"/>
    <mergeCell ref="K139:K140"/>
    <mergeCell ref="L139:L140"/>
    <mergeCell ref="A152:A153"/>
    <mergeCell ref="B152:B153"/>
    <mergeCell ref="K152:K153"/>
    <mergeCell ref="L152:L153"/>
    <mergeCell ref="C166:J166"/>
    <mergeCell ref="A193:A194"/>
    <mergeCell ref="B193:B194"/>
    <mergeCell ref="K193:K194"/>
    <mergeCell ref="L193:L194"/>
    <mergeCell ref="A206:A207"/>
    <mergeCell ref="B206:B207"/>
    <mergeCell ref="K206:K207"/>
    <mergeCell ref="L206:L207"/>
    <mergeCell ref="A179:A180"/>
    <mergeCell ref="B179:B180"/>
    <mergeCell ref="K179:K180"/>
    <mergeCell ref="L179:L180"/>
    <mergeCell ref="A191:L191"/>
    <mergeCell ref="C179:J179"/>
    <mergeCell ref="C206:J206"/>
    <mergeCell ref="C193:J193"/>
    <mergeCell ref="A233:A234"/>
    <mergeCell ref="B233:B234"/>
    <mergeCell ref="K233:K234"/>
    <mergeCell ref="L233:L234"/>
    <mergeCell ref="A245:L245"/>
    <mergeCell ref="A218:L218"/>
    <mergeCell ref="A220:A221"/>
    <mergeCell ref="B220:B221"/>
    <mergeCell ref="K220:K221"/>
    <mergeCell ref="L220:L221"/>
    <mergeCell ref="C233:J233"/>
    <mergeCell ref="C220:J220"/>
    <mergeCell ref="A301:A302"/>
    <mergeCell ref="B301:B302"/>
    <mergeCell ref="K301:K302"/>
    <mergeCell ref="L301:L302"/>
    <mergeCell ref="A314:A315"/>
    <mergeCell ref="B314:B315"/>
    <mergeCell ref="K314:K315"/>
    <mergeCell ref="L314:L315"/>
    <mergeCell ref="A287:A288"/>
    <mergeCell ref="B287:B288"/>
    <mergeCell ref="K287:K288"/>
    <mergeCell ref="L287:L288"/>
    <mergeCell ref="A299:L299"/>
    <mergeCell ref="C287:J287"/>
    <mergeCell ref="C314:J314"/>
    <mergeCell ref="C301:J301"/>
    <mergeCell ref="A272:L272"/>
    <mergeCell ref="A274:A275"/>
    <mergeCell ref="B274:B275"/>
    <mergeCell ref="K274:K275"/>
    <mergeCell ref="L274:L275"/>
    <mergeCell ref="A247:A248"/>
    <mergeCell ref="B247:B248"/>
    <mergeCell ref="K247:K248"/>
    <mergeCell ref="L247:L248"/>
    <mergeCell ref="A260:A261"/>
    <mergeCell ref="C260:J260"/>
    <mergeCell ref="C247:J247"/>
    <mergeCell ref="C274:J274"/>
    <mergeCell ref="B260:B261"/>
    <mergeCell ref="K260:K261"/>
    <mergeCell ref="L260:L261"/>
    <mergeCell ref="C43:J43"/>
    <mergeCell ref="C70:J70"/>
    <mergeCell ref="C97:J97"/>
    <mergeCell ref="C125:J125"/>
    <mergeCell ref="C152:J152"/>
    <mergeCell ref="C30:J30"/>
    <mergeCell ref="C57:J57"/>
    <mergeCell ref="C84:J84"/>
    <mergeCell ref="C112:J112"/>
    <mergeCell ref="C139:J139"/>
    <mergeCell ref="A55:L55"/>
    <mergeCell ref="A57:A58"/>
    <mergeCell ref="B57:B58"/>
    <mergeCell ref="K57:K58"/>
    <mergeCell ref="L57:L58"/>
    <mergeCell ref="A30:A31"/>
    <mergeCell ref="B30:B31"/>
    <mergeCell ref="K30:K31"/>
    <mergeCell ref="L30:L31"/>
    <mergeCell ref="A43:A44"/>
    <mergeCell ref="B43:B44"/>
    <mergeCell ref="K43:K44"/>
    <mergeCell ref="L43:L44"/>
    <mergeCell ref="A125:A12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2-2559</vt:lpstr>
      <vt:lpstr>1-2560</vt:lpstr>
      <vt:lpstr>'1-2560'!Print_Area</vt:lpstr>
      <vt:lpstr>'2-2559'!Print_Area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VRU</cp:lastModifiedBy>
  <cp:lastPrinted>2018-01-22T07:12:44Z</cp:lastPrinted>
  <dcterms:created xsi:type="dcterms:W3CDTF">2017-01-23T08:53:35Z</dcterms:created>
  <dcterms:modified xsi:type="dcterms:W3CDTF">2018-01-29T08:50:12Z</dcterms:modified>
</cp:coreProperties>
</file>