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เวิร์กบุ๊กนี้"/>
  <mc:AlternateContent xmlns:mc="http://schemas.openxmlformats.org/markup-compatibility/2006">
    <mc:Choice Requires="x15">
      <x15ac:absPath xmlns:x15ac="http://schemas.microsoft.com/office/spreadsheetml/2010/11/ac" url="C:\Users\Jongrak_SQM\Downloads\"/>
    </mc:Choice>
  </mc:AlternateContent>
  <bookViews>
    <workbookView xWindow="0" yWindow="0" windowWidth="24000" windowHeight="9780" tabRatio="715" firstSheet="1" activeTab="11"/>
  </bookViews>
  <sheets>
    <sheet name="คะแนน" sheetId="31" state="hidden" r:id="rId1"/>
    <sheet name="1.1" sheetId="42" r:id="rId2"/>
    <sheet name="1.2" sheetId="41" r:id="rId3"/>
    <sheet name="1.3" sheetId="40" r:id="rId4"/>
    <sheet name="2.2 -1" sheetId="36" state="hidden" r:id="rId5"/>
    <sheet name="2.2-1" sheetId="32" r:id="rId6"/>
    <sheet name="2.2-2" sheetId="37" r:id="rId7"/>
    <sheet name="2.3-1" sheetId="33" r:id="rId8"/>
    <sheet name="2.3-2" sheetId="34" r:id="rId9"/>
    <sheet name="2.3-3" sheetId="35" r:id="rId10"/>
    <sheet name="5.2" sheetId="39" r:id="rId11"/>
    <sheet name="กรอกคะแนน" sheetId="28" r:id="rId12"/>
    <sheet name="สรุปตาราง 1" sheetId="17" r:id="rId13"/>
    <sheet name="สรุปตาราง 2" sheetId="30" r:id="rId14"/>
    <sheet name="2.2-2 (2)" sheetId="44" state="hidden" r:id="rId15"/>
    <sheet name="Sheet1" sheetId="43" state="hidden" r:id="rId16"/>
    <sheet name="Sheet3" sheetId="45" state="hidden" r:id="rId17"/>
  </sheets>
  <externalReferences>
    <externalReference r:id="rId18"/>
    <externalReference r:id="rId19"/>
    <externalReference r:id="rId20"/>
    <externalReference r:id="rId21"/>
  </externalReferences>
  <definedNames>
    <definedName name="_xlnm._FilterDatabase" localSheetId="1" hidden="1">'1.1'!#REF!</definedName>
    <definedName name="Faculty" localSheetId="2">#REF!</definedName>
    <definedName name="Faculty" localSheetId="4">#REF!</definedName>
    <definedName name="Faculty" localSheetId="6">#REF!</definedName>
    <definedName name="Faculty" localSheetId="14">#REF!</definedName>
    <definedName name="Faculty" localSheetId="13">[1]info!$E$3:$E$24</definedName>
    <definedName name="Faculty">#REF!</definedName>
    <definedName name="FacultyList" localSheetId="2">#REF!</definedName>
    <definedName name="FacultyList" localSheetId="4">#REF!</definedName>
    <definedName name="FacultyList" localSheetId="6">#REF!</definedName>
    <definedName name="FacultyList" localSheetId="14">#REF!</definedName>
    <definedName name="FacultyList" localSheetId="13">[2]info!$E$1:$E$22</definedName>
    <definedName name="FacultyList">#REF!</definedName>
    <definedName name="Have" localSheetId="2">#REF!</definedName>
    <definedName name="Have" localSheetId="4">#REF!</definedName>
    <definedName name="Have" localSheetId="6">#REF!</definedName>
    <definedName name="Have" localSheetId="14">#REF!</definedName>
    <definedName name="Have" localSheetId="13">[2]info!$G$1:$G$3</definedName>
    <definedName name="Have">#REF!</definedName>
    <definedName name="_xlnm.Print_Area" localSheetId="1">'1.1'!$2:$5</definedName>
    <definedName name="_xlnm.Print_Area" localSheetId="10">'5.2'!$B$2:$I$23</definedName>
    <definedName name="_xlnm.Print_Area" localSheetId="11">กรอกคะแนน!$C$1:$F$142</definedName>
    <definedName name="_xlnm.Print_Area" localSheetId="12">'สรุปตาราง 1'!$A$1:$J$29</definedName>
    <definedName name="_xlnm.Print_Area" localSheetId="13">'สรุปตาราง 2'!$A$1:$H$14</definedName>
    <definedName name="_xlnm.Print_Titles" localSheetId="1">'1.1'!$2:$5</definedName>
    <definedName name="_xlnm.Print_Titles" localSheetId="11">กรอกคะแนน!$1:$1</definedName>
    <definedName name="_xlnm.Print_Titles" localSheetId="12">'สรุปตาราง 1'!$3:$4</definedName>
    <definedName name="sa" localSheetId="2">[3]faculty!#REF!</definedName>
    <definedName name="sa" localSheetId="4">[3]faculty!#REF!</definedName>
    <definedName name="sa" localSheetId="6">[3]faculty!#REF!</definedName>
    <definedName name="sa" localSheetId="14">[3]faculty!#REF!</definedName>
    <definedName name="sa" localSheetId="12">[3]faculty!#REF!</definedName>
    <definedName name="sa" localSheetId="13">[2]faculty!#REF!</definedName>
    <definedName name="sa">[3]faculty!#REF!</definedName>
    <definedName name="Year" localSheetId="2">#REF!</definedName>
    <definedName name="Year" localSheetId="4">#REF!</definedName>
    <definedName name="Year" localSheetId="6">#REF!</definedName>
    <definedName name="Year" localSheetId="14">#REF!</definedName>
    <definedName name="Year" localSheetId="13">#REF!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7" l="1"/>
  <c r="D13" i="37"/>
  <c r="H5" i="32"/>
  <c r="H6" i="32"/>
  <c r="H7" i="32"/>
  <c r="H8" i="32"/>
  <c r="H9" i="32"/>
  <c r="H10" i="32"/>
  <c r="H11" i="32"/>
  <c r="H12" i="32"/>
  <c r="H13" i="32"/>
  <c r="H14" i="32"/>
  <c r="H15" i="32"/>
  <c r="H4" i="32"/>
  <c r="H10" i="40"/>
  <c r="C10" i="40"/>
  <c r="E10" i="40" s="1"/>
  <c r="H11" i="41"/>
  <c r="E11" i="41"/>
  <c r="J22" i="39"/>
  <c r="J19" i="39"/>
  <c r="J17" i="39"/>
  <c r="J15" i="39"/>
  <c r="J11" i="39"/>
  <c r="J4" i="39"/>
  <c r="D6" i="17"/>
  <c r="F13" i="37" l="1"/>
  <c r="G13" i="37" s="1"/>
  <c r="E16" i="44" l="1"/>
  <c r="J7" i="44"/>
  <c r="K7" i="44" s="1"/>
  <c r="I7" i="44"/>
  <c r="I6" i="44"/>
  <c r="J8" i="44"/>
  <c r="I8" i="44"/>
  <c r="I9" i="44" s="1"/>
  <c r="I10" i="44" s="1"/>
  <c r="G16" i="44"/>
  <c r="D16" i="44"/>
  <c r="F15" i="44"/>
  <c r="F14" i="44"/>
  <c r="F13" i="44"/>
  <c r="F12" i="44"/>
  <c r="F11" i="44"/>
  <c r="F10" i="44"/>
  <c r="F9" i="44"/>
  <c r="F8" i="44"/>
  <c r="F7" i="44"/>
  <c r="J6" i="44"/>
  <c r="F6" i="44"/>
  <c r="F5" i="44"/>
  <c r="F4" i="44"/>
  <c r="K8" i="44" l="1"/>
  <c r="F16" i="44"/>
  <c r="K6" i="44"/>
  <c r="J9" i="44"/>
  <c r="K9" i="44" l="1"/>
  <c r="J10" i="44"/>
  <c r="R7" i="43" l="1"/>
  <c r="R6" i="43"/>
  <c r="R5" i="43"/>
  <c r="R4" i="43"/>
  <c r="R3" i="43"/>
  <c r="O7" i="43"/>
  <c r="O6" i="43"/>
  <c r="O5" i="43"/>
  <c r="O4" i="43"/>
  <c r="O3" i="43"/>
  <c r="N8" i="43"/>
  <c r="Q7" i="43"/>
  <c r="Q6" i="43"/>
  <c r="Q5" i="43"/>
  <c r="Q4" i="43"/>
  <c r="Q3" i="43"/>
  <c r="M7" i="43"/>
  <c r="M6" i="43"/>
  <c r="M5" i="43"/>
  <c r="M4" i="43"/>
  <c r="M3" i="43"/>
  <c r="K7" i="43"/>
  <c r="K6" i="43"/>
  <c r="K5" i="43"/>
  <c r="K4" i="43"/>
  <c r="K3" i="43"/>
  <c r="I7" i="43"/>
  <c r="I6" i="43"/>
  <c r="I5" i="43"/>
  <c r="I4" i="43"/>
  <c r="I3" i="43"/>
  <c r="H8" i="43"/>
  <c r="G7" i="43"/>
  <c r="G6" i="43"/>
  <c r="G5" i="43"/>
  <c r="G4" i="43"/>
  <c r="G3" i="43"/>
  <c r="E7" i="43"/>
  <c r="E6" i="43"/>
  <c r="E5" i="43"/>
  <c r="E4" i="43"/>
  <c r="E3" i="43"/>
  <c r="P8" i="43"/>
  <c r="L8" i="43"/>
  <c r="J8" i="43"/>
  <c r="F8" i="43"/>
  <c r="D8" i="43"/>
  <c r="C7" i="43"/>
  <c r="C6" i="43"/>
  <c r="C5" i="43"/>
  <c r="C4" i="43"/>
  <c r="C3" i="43"/>
  <c r="B8" i="43"/>
  <c r="R8" i="43" s="1"/>
  <c r="N11" i="34"/>
  <c r="F24" i="34"/>
  <c r="F23" i="34"/>
  <c r="F22" i="34"/>
  <c r="F21" i="34"/>
  <c r="F20" i="34"/>
  <c r="F19" i="34"/>
  <c r="F10" i="43" l="1"/>
  <c r="C8" i="43"/>
  <c r="O8" i="43"/>
  <c r="G8" i="43"/>
  <c r="K8" i="43"/>
  <c r="M8" i="43"/>
  <c r="I8" i="43"/>
  <c r="Q8" i="43"/>
  <c r="BK100" i="42"/>
  <c r="AF98" i="42"/>
  <c r="AF100" i="42" s="1"/>
  <c r="AF97" i="42"/>
  <c r="BO96" i="42"/>
  <c r="BL96" i="42"/>
  <c r="BN96" i="42" s="1"/>
  <c r="BO90" i="42"/>
  <c r="BL90" i="42"/>
  <c r="BN90" i="42" s="1"/>
  <c r="BO89" i="42"/>
  <c r="BL89" i="42"/>
  <c r="BN89" i="42" s="1"/>
  <c r="BO88" i="42"/>
  <c r="BL88" i="42"/>
  <c r="BN88" i="42" s="1"/>
  <c r="BN85" i="42"/>
  <c r="BM85" i="42"/>
  <c r="BO84" i="42"/>
  <c r="BL84" i="42"/>
  <c r="BN84" i="42" s="1"/>
  <c r="BO83" i="42"/>
  <c r="BL83" i="42"/>
  <c r="BN83" i="42" s="1"/>
  <c r="BK80" i="42"/>
  <c r="AF80" i="42"/>
  <c r="BO79" i="42"/>
  <c r="BL79" i="42"/>
  <c r="BM79" i="42" s="1"/>
  <c r="BO78" i="42"/>
  <c r="BL78" i="42"/>
  <c r="BM78" i="42" s="1"/>
  <c r="BO77" i="42"/>
  <c r="BL77" i="42"/>
  <c r="BM77" i="42" s="1"/>
  <c r="BO76" i="42"/>
  <c r="BL76" i="42"/>
  <c r="BM76" i="42" s="1"/>
  <c r="BO75" i="42"/>
  <c r="BL75" i="42"/>
  <c r="BM75" i="42" s="1"/>
  <c r="BO74" i="42"/>
  <c r="BL74" i="42"/>
  <c r="BM74" i="42" s="1"/>
  <c r="BO73" i="42"/>
  <c r="BL73" i="42"/>
  <c r="BM73" i="42" s="1"/>
  <c r="BO72" i="42"/>
  <c r="BL72" i="42"/>
  <c r="BM72" i="42" s="1"/>
  <c r="BO71" i="42"/>
  <c r="BL71" i="42"/>
  <c r="BM71" i="42" s="1"/>
  <c r="BO70" i="42"/>
  <c r="BL70" i="42"/>
  <c r="BM70" i="42" s="1"/>
  <c r="BO69" i="42"/>
  <c r="BL69" i="42"/>
  <c r="BM69" i="42" s="1"/>
  <c r="AF66" i="42"/>
  <c r="BO65" i="42"/>
  <c r="BL65" i="42"/>
  <c r="BN65" i="42" s="1"/>
  <c r="BO64" i="42"/>
  <c r="BL64" i="42"/>
  <c r="BN64" i="42" s="1"/>
  <c r="BO63" i="42"/>
  <c r="BL63" i="42"/>
  <c r="BN63" i="42" s="1"/>
  <c r="BO62" i="42"/>
  <c r="BL62" i="42"/>
  <c r="BN62" i="42" s="1"/>
  <c r="BO61" i="42"/>
  <c r="BL61" i="42"/>
  <c r="BN61" i="42" s="1"/>
  <c r="BO60" i="42"/>
  <c r="BL60" i="42"/>
  <c r="BN60" i="42" s="1"/>
  <c r="BO59" i="42"/>
  <c r="BL59" i="42"/>
  <c r="BN59" i="42" s="1"/>
  <c r="BO58" i="42"/>
  <c r="BL58" i="42"/>
  <c r="BN58" i="42" s="1"/>
  <c r="BO57" i="42"/>
  <c r="BL57" i="42"/>
  <c r="BN57" i="42" s="1"/>
  <c r="BL54" i="42"/>
  <c r="AF54" i="42"/>
  <c r="BO53" i="42"/>
  <c r="BL53" i="42"/>
  <c r="BM53" i="42" s="1"/>
  <c r="BO51" i="42"/>
  <c r="BL51" i="42"/>
  <c r="BM51" i="42" s="1"/>
  <c r="BO49" i="42"/>
  <c r="BL49" i="42"/>
  <c r="BM49" i="42" s="1"/>
  <c r="BK46" i="42"/>
  <c r="AF46" i="42"/>
  <c r="BO45" i="42"/>
  <c r="BL45" i="42"/>
  <c r="BN45" i="42" s="1"/>
  <c r="BO44" i="42"/>
  <c r="BL44" i="42"/>
  <c r="BN44" i="42" s="1"/>
  <c r="BO43" i="42"/>
  <c r="BL43" i="42"/>
  <c r="BN43" i="42" s="1"/>
  <c r="BO42" i="42"/>
  <c r="BL42" i="42"/>
  <c r="BN42" i="42" s="1"/>
  <c r="BO41" i="42"/>
  <c r="BL41" i="42"/>
  <c r="BN41" i="42" s="1"/>
  <c r="AF38" i="42"/>
  <c r="BN37" i="42"/>
  <c r="BM37" i="42"/>
  <c r="BO36" i="42"/>
  <c r="BL36" i="42"/>
  <c r="BM36" i="42" s="1"/>
  <c r="BO34" i="42"/>
  <c r="BL34" i="42"/>
  <c r="BM34" i="42" s="1"/>
  <c r="BO33" i="42"/>
  <c r="BL33" i="42"/>
  <c r="BM33" i="42" s="1"/>
  <c r="BO32" i="42"/>
  <c r="BL32" i="42"/>
  <c r="BM32" i="42" s="1"/>
  <c r="BO31" i="42"/>
  <c r="BL31" i="42"/>
  <c r="BM31" i="42" s="1"/>
  <c r="BO30" i="42"/>
  <c r="BL30" i="42"/>
  <c r="BM30" i="42" s="1"/>
  <c r="BO29" i="42"/>
  <c r="BL29" i="42"/>
  <c r="BM29" i="42" s="1"/>
  <c r="BO28" i="42"/>
  <c r="BL28" i="42"/>
  <c r="BM28" i="42" s="1"/>
  <c r="BO27" i="42"/>
  <c r="BL27" i="42"/>
  <c r="BM27" i="42" s="1"/>
  <c r="BO26" i="42"/>
  <c r="BL26" i="42"/>
  <c r="BM26" i="42" s="1"/>
  <c r="BK23" i="42"/>
  <c r="AF23" i="42"/>
  <c r="BO22" i="42"/>
  <c r="BM22" i="42"/>
  <c r="BN22" i="42"/>
  <c r="BO21" i="42"/>
  <c r="BN21" i="42"/>
  <c r="BO20" i="42"/>
  <c r="BM20" i="42"/>
  <c r="BN20" i="42"/>
  <c r="BO19" i="42"/>
  <c r="BN19" i="42"/>
  <c r="BO18" i="42"/>
  <c r="BM18" i="42"/>
  <c r="BN18" i="42"/>
  <c r="BO16" i="42"/>
  <c r="BL16" i="42"/>
  <c r="BN16" i="42" s="1"/>
  <c r="BO15" i="42"/>
  <c r="BL15" i="42"/>
  <c r="BN15" i="42" s="1"/>
  <c r="BO14" i="42"/>
  <c r="BL14" i="42"/>
  <c r="BN14" i="42" s="1"/>
  <c r="BO13" i="42"/>
  <c r="BL13" i="42"/>
  <c r="BN13" i="42" s="1"/>
  <c r="BO12" i="42"/>
  <c r="BL12" i="42"/>
  <c r="BN12" i="42" s="1"/>
  <c r="BO11" i="42"/>
  <c r="BL11" i="42"/>
  <c r="BN11" i="42" s="1"/>
  <c r="BO10" i="42"/>
  <c r="BL10" i="42"/>
  <c r="BN10" i="42" s="1"/>
  <c r="BO9" i="42"/>
  <c r="BL9" i="42"/>
  <c r="BN9" i="42" s="1"/>
  <c r="BO8" i="42"/>
  <c r="BL8" i="42"/>
  <c r="BN8" i="42" s="1"/>
  <c r="E13" i="28"/>
  <c r="O13" i="41"/>
  <c r="N13" i="41"/>
  <c r="M13" i="41"/>
  <c r="L13" i="41"/>
  <c r="K13" i="41"/>
  <c r="J13" i="41"/>
  <c r="G13" i="41"/>
  <c r="F13" i="41"/>
  <c r="D13" i="41"/>
  <c r="C13" i="41"/>
  <c r="H12" i="41"/>
  <c r="I12" i="41" s="1"/>
  <c r="E12" i="41"/>
  <c r="H10" i="41"/>
  <c r="I10" i="41" s="1"/>
  <c r="E10" i="41"/>
  <c r="H9" i="41"/>
  <c r="I9" i="41" s="1"/>
  <c r="E9" i="41"/>
  <c r="H8" i="41"/>
  <c r="I8" i="41" s="1"/>
  <c r="E8" i="41"/>
  <c r="H7" i="41"/>
  <c r="I7" i="41" s="1"/>
  <c r="E7" i="41"/>
  <c r="H6" i="41"/>
  <c r="I6" i="41" s="1"/>
  <c r="E6" i="41"/>
  <c r="H5" i="41"/>
  <c r="I5" i="41" s="1"/>
  <c r="E5" i="41"/>
  <c r="G12" i="40"/>
  <c r="D12" i="40"/>
  <c r="H11" i="40"/>
  <c r="C11" i="40"/>
  <c r="E11" i="40" s="1"/>
  <c r="H9" i="40"/>
  <c r="C9" i="40"/>
  <c r="E9" i="40" s="1"/>
  <c r="H8" i="40"/>
  <c r="C8" i="40"/>
  <c r="E8" i="40" s="1"/>
  <c r="H7" i="40"/>
  <c r="C7" i="40"/>
  <c r="E7" i="40" s="1"/>
  <c r="H6" i="40"/>
  <c r="C6" i="40"/>
  <c r="E6" i="40" s="1"/>
  <c r="H5" i="40"/>
  <c r="C5" i="40"/>
  <c r="E5" i="40" s="1"/>
  <c r="H4" i="40"/>
  <c r="C4" i="40"/>
  <c r="E4" i="40" s="1"/>
  <c r="E13" i="41" l="1"/>
  <c r="H13" i="41"/>
  <c r="BM84" i="42"/>
  <c r="BM65" i="42"/>
  <c r="BM57" i="42"/>
  <c r="BM9" i="42"/>
  <c r="BM61" i="42"/>
  <c r="BN53" i="42"/>
  <c r="BM11" i="42"/>
  <c r="BM41" i="42"/>
  <c r="BM42" i="42"/>
  <c r="BM43" i="42"/>
  <c r="BM44" i="42"/>
  <c r="BM45" i="42"/>
  <c r="BL46" i="42"/>
  <c r="BM63" i="42"/>
  <c r="BM83" i="42"/>
  <c r="BM88" i="42"/>
  <c r="BM90" i="42"/>
  <c r="BN49" i="42"/>
  <c r="BM59" i="42"/>
  <c r="BL23" i="42"/>
  <c r="BM13" i="42"/>
  <c r="BM15" i="42"/>
  <c r="BM8" i="42"/>
  <c r="BM12" i="42"/>
  <c r="BM16" i="42"/>
  <c r="BM21" i="42"/>
  <c r="BN36" i="42"/>
  <c r="BL38" i="42"/>
  <c r="BN51" i="42"/>
  <c r="BM58" i="42"/>
  <c r="BM62" i="42"/>
  <c r="BM96" i="42"/>
  <c r="BL100" i="42"/>
  <c r="BM10" i="42"/>
  <c r="BM14" i="42"/>
  <c r="BM19" i="42"/>
  <c r="BM60" i="42"/>
  <c r="BM64" i="42"/>
  <c r="BL66" i="42"/>
  <c r="BL80" i="42"/>
  <c r="BM89" i="42"/>
  <c r="BL97" i="42"/>
  <c r="BO100" i="42"/>
  <c r="BN26" i="42"/>
  <c r="BN27" i="42"/>
  <c r="BN28" i="42"/>
  <c r="BN29" i="42"/>
  <c r="BN30" i="42"/>
  <c r="BN31" i="42"/>
  <c r="BN32" i="42"/>
  <c r="BN33" i="42"/>
  <c r="BN34" i="42"/>
  <c r="BN69" i="42"/>
  <c r="BN70" i="42"/>
  <c r="BN71" i="42"/>
  <c r="BN72" i="42"/>
  <c r="BN73" i="42"/>
  <c r="BN74" i="42"/>
  <c r="BN75" i="42"/>
  <c r="BN76" i="42"/>
  <c r="BN77" i="42"/>
  <c r="BN78" i="42"/>
  <c r="BN79" i="42"/>
  <c r="BL98" i="42"/>
  <c r="F12" i="40"/>
  <c r="C12" i="40"/>
  <c r="E12" i="40" s="1"/>
  <c r="I22" i="39"/>
  <c r="H22" i="39"/>
  <c r="G22" i="39"/>
  <c r="F22" i="39"/>
  <c r="E22" i="39"/>
  <c r="D22" i="39"/>
  <c r="C22" i="39"/>
  <c r="I19" i="39"/>
  <c r="H19" i="39"/>
  <c r="G19" i="39"/>
  <c r="F19" i="39"/>
  <c r="E19" i="39"/>
  <c r="D19" i="39"/>
  <c r="C19" i="39"/>
  <c r="I17" i="39"/>
  <c r="H17" i="39"/>
  <c r="G17" i="39"/>
  <c r="F17" i="39"/>
  <c r="E17" i="39"/>
  <c r="D17" i="39"/>
  <c r="C17" i="39"/>
  <c r="I15" i="39"/>
  <c r="H15" i="39"/>
  <c r="G15" i="39"/>
  <c r="F15" i="39"/>
  <c r="E15" i="39"/>
  <c r="D15" i="39"/>
  <c r="C15" i="39"/>
  <c r="I11" i="39"/>
  <c r="H11" i="39"/>
  <c r="G11" i="39"/>
  <c r="F11" i="39"/>
  <c r="E11" i="39"/>
  <c r="D11" i="39"/>
  <c r="C11" i="39"/>
  <c r="I4" i="39"/>
  <c r="H4" i="39"/>
  <c r="G4" i="39"/>
  <c r="F4" i="39"/>
  <c r="E4" i="39"/>
  <c r="D4" i="39"/>
  <c r="C4" i="39"/>
  <c r="H12" i="40" l="1"/>
  <c r="E22" i="28"/>
  <c r="E14" i="37" l="1"/>
  <c r="D14" i="37"/>
  <c r="E12" i="37"/>
  <c r="E11" i="37"/>
  <c r="E10" i="37"/>
  <c r="E9" i="37"/>
  <c r="E8" i="37"/>
  <c r="E7" i="37"/>
  <c r="E6" i="37"/>
  <c r="E5" i="37"/>
  <c r="E4" i="37"/>
  <c r="O26" i="34"/>
  <c r="D15" i="35" s="1"/>
  <c r="O9" i="34"/>
  <c r="O27" i="34" s="1"/>
  <c r="C15" i="35" s="1"/>
  <c r="D14" i="35"/>
  <c r="D7" i="35"/>
  <c r="F25" i="34"/>
  <c r="E10" i="34"/>
  <c r="E9" i="34"/>
  <c r="E6" i="34"/>
  <c r="D11" i="34"/>
  <c r="F11" i="34" s="1"/>
  <c r="D10" i="34"/>
  <c r="F10" i="34" s="1"/>
  <c r="D9" i="34"/>
  <c r="F9" i="34" s="1"/>
  <c r="D7" i="34"/>
  <c r="F7" i="34" s="1"/>
  <c r="D6" i="34"/>
  <c r="N25" i="34"/>
  <c r="P25" i="34" s="1"/>
  <c r="N24" i="34"/>
  <c r="P24" i="34" s="1"/>
  <c r="P26" i="34" s="1"/>
  <c r="N22" i="34"/>
  <c r="P22" i="34" s="1"/>
  <c r="N21" i="34"/>
  <c r="N20" i="34"/>
  <c r="N19" i="34"/>
  <c r="P19" i="34" s="1"/>
  <c r="M10" i="34"/>
  <c r="M9" i="34"/>
  <c r="M7" i="34"/>
  <c r="N7" i="34" s="1"/>
  <c r="M6" i="34"/>
  <c r="N6" i="34" s="1"/>
  <c r="L10" i="34"/>
  <c r="N10" i="34" s="1"/>
  <c r="L9" i="34"/>
  <c r="K23" i="34"/>
  <c r="K11" i="34"/>
  <c r="K10" i="34"/>
  <c r="K9" i="34"/>
  <c r="K6" i="34"/>
  <c r="J11" i="34"/>
  <c r="J10" i="34"/>
  <c r="J9" i="34"/>
  <c r="J7" i="34"/>
  <c r="J6" i="34"/>
  <c r="I21" i="34"/>
  <c r="P21" i="34" s="1"/>
  <c r="I11" i="34"/>
  <c r="I23" i="34"/>
  <c r="I20" i="34"/>
  <c r="I10" i="34"/>
  <c r="I9" i="34"/>
  <c r="N26" i="34"/>
  <c r="M26" i="34"/>
  <c r="L26" i="34"/>
  <c r="D13" i="35" s="1"/>
  <c r="K26" i="34"/>
  <c r="D11" i="35" s="1"/>
  <c r="J26" i="34"/>
  <c r="D10" i="35" s="1"/>
  <c r="I26" i="34"/>
  <c r="D9" i="35" s="1"/>
  <c r="F26" i="34"/>
  <c r="E26" i="34"/>
  <c r="D6" i="35" s="1"/>
  <c r="D26" i="34"/>
  <c r="D5" i="35" s="1"/>
  <c r="D4" i="35" s="1"/>
  <c r="G26" i="34"/>
  <c r="H26" i="34"/>
  <c r="D8" i="35" s="1"/>
  <c r="H9" i="34"/>
  <c r="H7" i="34"/>
  <c r="G11" i="34"/>
  <c r="H6" i="34"/>
  <c r="G20" i="34"/>
  <c r="G23" i="34"/>
  <c r="G9" i="34"/>
  <c r="G7" i="34"/>
  <c r="G6" i="34"/>
  <c r="B340" i="33"/>
  <c r="B308" i="33"/>
  <c r="B321" i="33"/>
  <c r="B297" i="33"/>
  <c r="B239" i="33"/>
  <c r="B155" i="33"/>
  <c r="B118" i="33"/>
  <c r="F15" i="35" l="1"/>
  <c r="E15" i="35"/>
  <c r="L27" i="34"/>
  <c r="C13" i="35" s="1"/>
  <c r="N9" i="34"/>
  <c r="P9" i="34" s="1"/>
  <c r="P10" i="34"/>
  <c r="F6" i="34"/>
  <c r="P23" i="34"/>
  <c r="P7" i="34"/>
  <c r="P11" i="34"/>
  <c r="F27" i="34"/>
  <c r="P20" i="34"/>
  <c r="E27" i="34"/>
  <c r="C6" i="35" s="1"/>
  <c r="P6" i="34"/>
  <c r="D27" i="34"/>
  <c r="C5" i="35" s="1"/>
  <c r="M27" i="34"/>
  <c r="C14" i="35" s="1"/>
  <c r="K27" i="34"/>
  <c r="C11" i="35" s="1"/>
  <c r="J27" i="34"/>
  <c r="C10" i="35" s="1"/>
  <c r="H27" i="34"/>
  <c r="C8" i="35" s="1"/>
  <c r="G27" i="34"/>
  <c r="C7" i="35" s="1"/>
  <c r="I27" i="34"/>
  <c r="D11" i="37"/>
  <c r="F11" i="37" s="1"/>
  <c r="G11" i="37" s="1"/>
  <c r="E14" i="35" l="1"/>
  <c r="F14" i="35" s="1"/>
  <c r="F12" i="35" s="1"/>
  <c r="E8" i="35"/>
  <c r="F8" i="35" s="1"/>
  <c r="C4" i="35"/>
  <c r="E4" i="35" s="1"/>
  <c r="E5" i="35"/>
  <c r="F5" i="35" s="1"/>
  <c r="E13" i="35"/>
  <c r="F13" i="35" s="1"/>
  <c r="E7" i="35"/>
  <c r="F7" i="35"/>
  <c r="E10" i="35"/>
  <c r="F10" i="35" s="1"/>
  <c r="E11" i="35"/>
  <c r="F11" i="35" s="1"/>
  <c r="F6" i="35"/>
  <c r="E6" i="35"/>
  <c r="C9" i="35"/>
  <c r="N27" i="34"/>
  <c r="P27" i="34" s="1"/>
  <c r="D12" i="37"/>
  <c r="F12" i="37" s="1"/>
  <c r="G12" i="37" s="1"/>
  <c r="G10" i="37" s="1"/>
  <c r="D10" i="37"/>
  <c r="F10" i="37" s="1"/>
  <c r="D9" i="37"/>
  <c r="F9" i="37" s="1"/>
  <c r="G9" i="37" s="1"/>
  <c r="D8" i="37"/>
  <c r="F8" i="37" s="1"/>
  <c r="G8" i="37" s="1"/>
  <c r="D7" i="37"/>
  <c r="F7" i="37" s="1"/>
  <c r="G7" i="37" s="1"/>
  <c r="D6" i="37"/>
  <c r="F6" i="37" s="1"/>
  <c r="G6" i="37" s="1"/>
  <c r="D5" i="37"/>
  <c r="D4" i="37"/>
  <c r="F4" i="35" l="1"/>
  <c r="F16" i="35" s="1"/>
  <c r="F4" i="37"/>
  <c r="G4" i="37" s="1"/>
  <c r="E9" i="35"/>
  <c r="F9" i="35" s="1"/>
  <c r="F5" i="37"/>
  <c r="G5" i="37" s="1"/>
  <c r="E16" i="35" l="1"/>
  <c r="F14" i="37"/>
  <c r="G14" i="37" s="1"/>
  <c r="G15" i="37" s="1"/>
  <c r="A2" i="30"/>
  <c r="E14" i="17" l="1"/>
  <c r="C2" i="17"/>
  <c r="D26" i="17"/>
  <c r="D25" i="17"/>
  <c r="D24" i="17"/>
  <c r="D21" i="17"/>
  <c r="D18" i="17"/>
  <c r="F15" i="17"/>
  <c r="E15" i="17"/>
  <c r="D15" i="17"/>
  <c r="F14" i="17"/>
  <c r="D14" i="17"/>
  <c r="E8" i="17"/>
  <c r="F7" i="17"/>
  <c r="E7" i="17"/>
  <c r="F6" i="17"/>
  <c r="E6" i="17"/>
  <c r="D10" i="17"/>
  <c r="D9" i="17"/>
  <c r="D8" i="17"/>
  <c r="D7" i="17"/>
  <c r="A10" i="17"/>
  <c r="A9" i="17"/>
  <c r="A8" i="17"/>
  <c r="A6" i="17"/>
  <c r="D13" i="17"/>
  <c r="A26" i="17"/>
  <c r="A25" i="17"/>
  <c r="A24" i="17"/>
  <c r="A21" i="17"/>
  <c r="A18" i="17"/>
  <c r="A15" i="17"/>
  <c r="A14" i="17"/>
  <c r="A13" i="17"/>
  <c r="A23" i="17"/>
  <c r="A20" i="17"/>
  <c r="A17" i="17"/>
  <c r="A12" i="17"/>
  <c r="A5" i="17"/>
  <c r="A7" i="17"/>
  <c r="E77" i="28"/>
  <c r="G15" i="17" s="1"/>
  <c r="D129" i="28"/>
  <c r="E124" i="28"/>
  <c r="I25" i="17" s="1"/>
  <c r="B14" i="31" s="1"/>
  <c r="E9" i="30" s="1"/>
  <c r="E123" i="28"/>
  <c r="E125" i="28" s="1"/>
  <c r="E111" i="28"/>
  <c r="E113" i="28" s="1"/>
  <c r="E86" i="28"/>
  <c r="E88" i="28" s="1"/>
  <c r="E25" i="17" l="1"/>
  <c r="H25" i="17" s="1"/>
  <c r="E24" i="17"/>
  <c r="H24" i="17" s="1"/>
  <c r="E18" i="17"/>
  <c r="H15" i="17"/>
  <c r="E112" i="28"/>
  <c r="I24" i="17" s="1"/>
  <c r="E87" i="28"/>
  <c r="I18" i="17" s="1"/>
  <c r="B12" i="31" l="1"/>
  <c r="G19" i="17"/>
  <c r="D7" i="30"/>
  <c r="B10" i="31"/>
  <c r="F7" i="30"/>
  <c r="G7" i="30" s="1"/>
  <c r="B7" i="30"/>
  <c r="E55" i="28"/>
  <c r="C75" i="28"/>
  <c r="E67" i="28"/>
  <c r="G14" i="17" s="1"/>
  <c r="H14" i="17" s="1"/>
  <c r="E31" i="28"/>
  <c r="E9" i="17" s="1"/>
  <c r="E57" i="28" l="1"/>
  <c r="E13" i="17"/>
  <c r="E33" i="28"/>
  <c r="H9" i="17"/>
  <c r="E79" i="28"/>
  <c r="E78" i="28"/>
  <c r="I15" i="17" s="1"/>
  <c r="E68" i="28"/>
  <c r="I14" i="17" s="1"/>
  <c r="E56" i="28"/>
  <c r="I13" i="17" s="1"/>
  <c r="E32" i="28"/>
  <c r="I9" i="17" s="1"/>
  <c r="B9" i="31" l="1"/>
  <c r="E6" i="30"/>
  <c r="B8" i="31"/>
  <c r="C6" i="30"/>
  <c r="B6" i="30"/>
  <c r="F6" i="30"/>
  <c r="G6" i="30" s="1"/>
  <c r="B7" i="31"/>
  <c r="D6" i="30"/>
  <c r="G16" i="17"/>
  <c r="B5" i="31"/>
  <c r="E69" i="28"/>
  <c r="C20" i="28" l="1"/>
  <c r="G7" i="17"/>
  <c r="C11" i="28"/>
  <c r="E15" i="28" l="1"/>
  <c r="E14" i="28"/>
  <c r="I7" i="17" s="1"/>
  <c r="B3" i="31" s="1"/>
  <c r="D19" i="28"/>
  <c r="E5" i="28" l="1"/>
  <c r="I6" i="17" s="1"/>
  <c r="G6" i="17"/>
  <c r="H6" i="17" s="1"/>
  <c r="D10" i="28"/>
  <c r="B2" i="31" l="1"/>
  <c r="E5" i="30"/>
  <c r="E6" i="28"/>
  <c r="E133" i="28"/>
  <c r="E98" i="28"/>
  <c r="E43" i="28"/>
  <c r="E10" i="30" l="1"/>
  <c r="E11" i="30"/>
  <c r="E12" i="30" s="1"/>
  <c r="E134" i="28"/>
  <c r="I26" i="17" s="1"/>
  <c r="E26" i="17"/>
  <c r="H26" i="17" s="1"/>
  <c r="E99" i="28"/>
  <c r="I21" i="17" s="1"/>
  <c r="E21" i="17"/>
  <c r="H21" i="17" s="1"/>
  <c r="E44" i="28"/>
  <c r="I10" i="17" s="1"/>
  <c r="E10" i="17"/>
  <c r="H10" i="17" s="1"/>
  <c r="H18" i="17"/>
  <c r="F8" i="30" l="1"/>
  <c r="G8" i="30" s="1"/>
  <c r="D8" i="30"/>
  <c r="B13" i="31"/>
  <c r="D9" i="30" s="1"/>
  <c r="G27" i="17"/>
  <c r="J27" i="17" s="1"/>
  <c r="B9" i="30"/>
  <c r="F9" i="30"/>
  <c r="G9" i="30" s="1"/>
  <c r="G22" i="17"/>
  <c r="B8" i="30"/>
  <c r="B11" i="31"/>
  <c r="B6" i="31"/>
  <c r="D5" i="30"/>
  <c r="D11" i="30" l="1"/>
  <c r="D12" i="30" s="1"/>
  <c r="D10" i="30"/>
  <c r="H7" i="17"/>
  <c r="E100" i="28" l="1"/>
  <c r="E135" i="28" l="1"/>
  <c r="E45" i="28"/>
  <c r="H13" i="17" l="1"/>
  <c r="J16" i="17" l="1"/>
  <c r="J22" i="17" l="1"/>
  <c r="J19" i="17" l="1"/>
  <c r="F8" i="17"/>
  <c r="D28" i="28"/>
  <c r="G8" i="17"/>
  <c r="H8" i="17" s="1"/>
  <c r="E23" i="28"/>
  <c r="I8" i="17" s="1"/>
  <c r="E24" i="28" l="1"/>
  <c r="C5" i="30"/>
  <c r="F5" i="30"/>
  <c r="G29" i="17"/>
  <c r="G28" i="17"/>
  <c r="G11" i="17"/>
  <c r="J11" i="17" s="1"/>
  <c r="B4" i="31"/>
  <c r="B5" i="30"/>
  <c r="I28" i="17" l="1"/>
  <c r="J28" i="17" s="1"/>
  <c r="G5" i="30"/>
  <c r="F11" i="30"/>
  <c r="G11" i="30" s="1"/>
  <c r="B10" i="30"/>
  <c r="B11" i="30"/>
  <c r="C11" i="30"/>
  <c r="C12" i="30" s="1"/>
  <c r="C10" i="30"/>
  <c r="E8" i="43"/>
  <c r="F11" i="43" s="1"/>
</calcChain>
</file>

<file path=xl/sharedStrings.xml><?xml version="1.0" encoding="utf-8"?>
<sst xmlns="http://schemas.openxmlformats.org/spreadsheetml/2006/main" count="2940" uniqueCount="864">
  <si>
    <t>ผลการดำเนินงาน</t>
  </si>
  <si>
    <t>ตัวตั้ง</t>
  </si>
  <si>
    <t>ผลลัพธ์</t>
  </si>
  <si>
    <t>ตัวหาร</t>
  </si>
  <si>
    <t>คะแนน</t>
  </si>
  <si>
    <t>หมายเหตุ</t>
  </si>
  <si>
    <t>คณะ</t>
  </si>
  <si>
    <t>จำนวนตัวบ่งชี้</t>
  </si>
  <si>
    <t>ผลการประเมิน</t>
  </si>
  <si>
    <t>sqm@vru.ac.th</t>
  </si>
  <si>
    <t>คะแนนฉลี่ย องค์ประกอบที่ 5</t>
  </si>
  <si>
    <t>คะแนนฉลี่ย องค์ประกอบที่ 4</t>
  </si>
  <si>
    <t>คะแนนฉลี่ย องค์ประกอบที่ 3</t>
  </si>
  <si>
    <t>คะแนนฉลี่ย องค์ประกอบที่ 2</t>
  </si>
  <si>
    <t>คะแนนฉลี่ย องค์ประกอบที่ 1</t>
  </si>
  <si>
    <t>องค์ประกอบ ตัวบ่งชี้</t>
  </si>
  <si>
    <t>คะแนนเฉลี่ยทุกตัวบ่งชี้ องค์ประกอบที่ 1-5</t>
  </si>
  <si>
    <t>คะแนนประเมิน (เต็ม 5)</t>
  </si>
  <si>
    <t>องค์ประกอบคุณภาพ</t>
  </si>
  <si>
    <t>I</t>
  </si>
  <si>
    <t>P</t>
  </si>
  <si>
    <t>O</t>
  </si>
  <si>
    <t xml:space="preserve">เฉลี่ยรวมทุกตัวบ่งชี้
ของทุกองค์ประกอบ
</t>
  </si>
  <si>
    <t xml:space="preserve">ข้อมูลการแก้ไข </t>
  </si>
  <si>
    <t>รวมตัวบ่งชี้</t>
  </si>
  <si>
    <t>Nareekan Poomkongthong</t>
  </si>
  <si>
    <t>-</t>
  </si>
  <si>
    <t>กรอกผลการดำเนินงาน/ข้อมูลพื้นฐานในช่องสีเหลือง</t>
  </si>
  <si>
    <t>(หากคณะไม่ได้รับการประเมินในตัวบ่งชี้ใด ๆ ไม่ต้องใส่ข้อมูลในช่องผลดำเนินงาน 
(ช่องสีเหลือง) และโปรแกรมจะไม่นำตัวบ่งชี้นั้นๆ มาเป็นตัวหารในการคำนวณ)</t>
  </si>
  <si>
    <t xml:space="preserve">ตาราง 1 ผลการประเมินรายตัวบ่งชี้ตามองค์ประกอบคุณภาพ </t>
  </si>
  <si>
    <t>ค่าเป้าหมาย :</t>
  </si>
  <si>
    <t>ผลการดำเนินงาน  :</t>
  </si>
  <si>
    <t xml:space="preserve">คะแนน : </t>
  </si>
  <si>
    <t>การบรรลุเป้าหมาย :</t>
  </si>
  <si>
    <t>หมายเหตุ/ข้อค้นพบ</t>
  </si>
  <si>
    <t>1. จัดบริการให้คำปรึกษา แนะแนวด้านการใช้ชีวิต และการเข้าสู่อาชีพแก่นักศึกษาในสถาบัน</t>
  </si>
  <si>
    <t>3. จัดกิจกรรมเตรียมความพร้อมเพื่อการทำงานเมื่อสำเร็จการศึกษาแก่นักศึกษา</t>
  </si>
  <si>
    <t>4. ประเมินคุณภาพของการจัดกิจกรรมและการจัดบริการในข้อ 1-3 ทุกข้อไม่ต่ำกว่า 3.51 จากคะแนนเต็ม 5</t>
  </si>
  <si>
    <t>6. ให้ข้อมูลและความรู้ที่เป็นประโยชน์แก่ศิษย์เก่า</t>
  </si>
  <si>
    <t>2. มีการให้ข้อมูลของหน่วยงานที่ให้บริการกิจกรรมพิเศษนอกหลักสูตร แหล่งงานทั้งเต็มเวลาและนอกเวลาแก่นักศึกษา</t>
  </si>
  <si>
    <t>5. นำผลการประเมินจากข้อ 4 มาปรับปรุงพัฒนาการให้บริการและการให้ข้อมูลเพื่อส่งให้ผลการประเมินสูงขึ้นหรือเป็นไปตามความคาดหวังของนักศึกษา</t>
  </si>
  <si>
    <t>4. ทุกกิจกรรมที่ดำเนินการ  มีการประเมินผลความสำเร็จตามวัตถุประสงค์ของกิจกรรมและนำผลการประเมินมาปรับปรุงการดำเนินงานครั้งต่อไป</t>
  </si>
  <si>
    <t xml:space="preserve">1. กำหนดผู้รับผิดชอบในการทำนุบำรุงศิลปะและวัฒนธรรม  </t>
  </si>
  <si>
    <t>3. กำกับติดตามให้มีการดำเนินงานตามแผนด้านทำนุบำรุงศิลปะและวัฒนธรรม</t>
  </si>
  <si>
    <t>4. ประเมินความสำเร็จของตามตัวบ่งชี้ที่วัดความสำเร็จตามวัตถุประสงค์ของแผนด้านทำนุบำรุงศิลปะและวัฒนธรรม</t>
  </si>
  <si>
    <t xml:space="preserve">7. กำหนดหรือสร้างมาตรฐานคุณภาพด้านศิลปะและวัฒนธรรมและมีผลงานเป็นที่ยอมรับในระดับชาติ </t>
  </si>
  <si>
    <t>6. เผยแพร่กิจกรรมหรือการบริการด้านทำนุบำรุงศิลปะและวัฒนธรรมต่อสาธารณชน</t>
  </si>
  <si>
    <t>5. นำผลการประเมินไปปรับปรุงแผนหรือกิจกรรมด้านทำนุบำรุงศิลปะและวัฒนธรรม</t>
  </si>
  <si>
    <t>2. จัดทำแผนด้านทำนุบำรุงศิลปะและวัฒนธรรม และกำหนดตัวบ่งชี้วัดความสำเร็จตามวัตถุประสงค์ของแผน รวมทั้งจัดสรรงบประมาณเพื่อให้สามารถดำเนินการได้ตามแผน</t>
  </si>
  <si>
    <t>ข้อมูลพื้นฐาน</t>
  </si>
  <si>
    <t>%</t>
  </si>
  <si>
    <t>5. ประเมินความสำเร็จตามวัตถุประสงค์ของแผนการจัดกิจกรรมพัฒนานักศึกษา</t>
  </si>
  <si>
    <t xml:space="preserve">3. จัดกิจกรรมให้ความรู้และทักษะการประกันคุณภาพการศึกษาแก่นักศึกษา </t>
  </si>
  <si>
    <t>1. จัดทำแผนการจัดกิจกรรมพัฒนานักศึกษาในภาพรวมของสถาบันโดยให้นักศึกษามีส่วนร่วมในการจัดทำแผนและการจัดกิจกรรม</t>
  </si>
  <si>
    <t>6. นำผลการประเมินไปปรับปรุงแผนหรือปรับปรุงการจัดกิจกรรมเพื่อพัฒนานักศึกษา</t>
  </si>
  <si>
    <t>ชื่อหน่วยงาน :</t>
  </si>
  <si>
    <t>ค่าเป้าหมาย</t>
  </si>
  <si>
    <t>การบรรลุเป้าหมาย</t>
  </si>
  <si>
    <t>ตาราง 1</t>
  </si>
  <si>
    <t>ตาราง 2</t>
  </si>
  <si>
    <t>ตารางกรอกคะแนน</t>
  </si>
  <si>
    <t>ผลการประเมินคุณภาพการศึกษาภายใน ระดับมหาวิทยาลัย ประจำปีการศึกษา 2558</t>
  </si>
  <si>
    <t>ตัวบ่งชี้ที่ 1.1  ผลการบริหารจัดการหลักสูตรโดยรวม</t>
  </si>
  <si>
    <t>องค์ประกอบที่ 1 การผลิตบัณฑิต</t>
  </si>
  <si>
    <t>1.ผลรวมของค่าคะแนนประเมินของทุกหลักสูตร</t>
  </si>
  <si>
    <t>2.จำนวนหลักสูตรทั้งหมดที่สถาบันรับผิดชอบ</t>
  </si>
  <si>
    <t>3.ค่าเฉลี่ยของคะแนนประเมินทุกหลักสุตรที่สถาบันรับผิดชอบ</t>
  </si>
  <si>
    <t>หลักสูตร</t>
  </si>
  <si>
    <t>คน</t>
  </si>
  <si>
    <t>3.ร้อยละของอาจารยประจำที่มีคุณวุฒิปริญญาเอก</t>
  </si>
  <si>
    <t>ตัวบ่งชี้ที่ 1.2  อาจารย์ประจำสถาบันที่มีคุณวุฒิปริญญาเอก</t>
  </si>
  <si>
    <t>3.ร้อยละของอาจารย์ประจำที่ดำรงตำแหน่งทางวิชาการ</t>
  </si>
  <si>
    <t>ตัวบ่งชี้ที่ 1.3  อาจารย์ประจำสถาบันที่ดำรงตำแหน่งทางวิชาการ</t>
  </si>
  <si>
    <t>ตัวบ่งชี้ที่ 1.4  การบริการนักศึกษาระดับปริญญาตรี</t>
  </si>
  <si>
    <t>ตัวบ่งชี้ที่ 1.5  กิจกรรมนักศึกษาระดับปริญญาตรี</t>
  </si>
  <si>
    <t>องค์ประกอบที่ 2 การวิจัย</t>
  </si>
  <si>
    <t>ตัวบ่งชี้ที่ 2.1  ระบบและกลไกการบริหารและพัฒนางานวิจัยหรืองานสร้างสรรค์</t>
  </si>
  <si>
    <t>ตัวบ่งชี้ที่ 2.2  เงินสนับสนุนงานวิจัยและงานสร้างสรรค์</t>
  </si>
  <si>
    <t>ตัวบ่งชี้ที่ 2.3  ผลงานทางวิชาการของอาจารย์ประจำและนักวิจัย</t>
  </si>
  <si>
    <t>1. มีระบบสารสนเทศเพื่อการบริหารงานวิจัยที่สามารถนำไปใช้ประโยชน์ในการบริหารงานวิจัยและงานสร้างสรรค์</t>
  </si>
  <si>
    <t>2. สนับสนุนพันธกิจด้านการวิจัยหรืองานสร้างสรรค์อย่างน้อยในประเด็นต่อไปนี้ 
   - ห้องปฏิบัติการวิจัย หรือหน่วยวิจัย หรือศูนย์เครื่องมือ หรือศูนย์ให้คำปรึกษาและสนับสนุนการวิจัย
   - ห้องสมุดหรือแหล่งค้นคว้าข้อมูลสนับสนุนการวิจัย
   - สิ่งอำนวยความสะดวกหรือการรักษาความปลอดภัยในการวิจัย เช่น ระบบเทคโนโลยีสารสนเทศระบบรักษาความปลอดภัยในห้องปฏิบัติการวิจัย
   - กิจกรรมวิชาการที่ส่งเสริมงานวิจัย เช่น การจัดประชุมวิชาการ การจัดแสดงงานสร้างสรรค์ การจัดให้ มีศาสตราจารย์อาคันตุกะหรือศาสตราจารย์รับเชิญ (Visiting Professor)</t>
  </si>
  <si>
    <t>3. จัดสรรงบประมาณของสถาบัน เพื่อเป็นทุนวิจัยหรืองานสร้างสรรค์</t>
  </si>
  <si>
    <t xml:space="preserve">4. จัดสรรงบประมาณเพื่อสนับสนุนการเผยแพร่ผลงานวิจัยหรืองานสร้างสรรค์ในการประชุมวิชาการหรือการตีพิมพ์ในวารสารระดับชาติหรือนานาชาติ และมีการเผยแพร่ผลงานวิจัยหรืองานสร้างสรรค์ในการประชุมวิชาการหรือการตีพิมพ์ในวารสารระดับชาติหรือนานาชาติ </t>
  </si>
  <si>
    <t>5. มีการพัฒนาสมรรถนะอาจารย์และนักวิจัย มีการสร้างขวัญและกำลังใจตลอดจนยกย่องนักวิจัย/อาจารย์ที่มีผลงานวิจัยและงานสร้างสรรค์ดีเด่น</t>
  </si>
  <si>
    <t>6. มีระบบและกลไกเพื่อช่วยในการคุ้มครองสิทธิ์ของงานวิจัยหรืองานสร้างสรรค์ที่นำไปใช้ประโยชน์และดำเนินการตามระบบที่กำหนด</t>
  </si>
  <si>
    <t>1. กำหนดชุมชนหรือองค์การเป้าหมายของการให้บริการทางวิชาการแก่สังคมโดยมีความร่วมมือระหว่างคณะหรือหน่วยงานเทียบเท่า</t>
  </si>
  <si>
    <t>2. จัดทำแผนบริการวิชาการโดยมีส่วนร่วมจากชุมชนหรือองค์การเป้าหมายที่กำหนดในข้อ 1</t>
  </si>
  <si>
    <t>3. ชุมชนหรือองค์การเป้าหมายได้รับการพัฒนาและมีความเข้มแข็งที่มีหลักฐานที่ปรากฏชัดเจน</t>
  </si>
  <si>
    <t xml:space="preserve">4. ชุมชนหรือองค์การเป้าหมายดำเนินการพัฒนาตนเองอย่างต่อเนื่อง </t>
  </si>
  <si>
    <t>5. สถาบันสามารถสร้างเครือข่ายความร่วมมือกับหน่วยงานภายนอกในการพัฒนาชุมชนหรือองค์การเป้าหมาย</t>
  </si>
  <si>
    <t>6. ทุกคณะมีส่วนร่วมในการดำเนินการตามแผนบริการทางวิชาการแก่สังคมของสถาบันตามข้อ 2 โดยมีจำนวนอาจารย์เข้าร่วมไม่น้อยกว่าร้อยละ 5 ของอาจารย์ทั้งหมดของสถาบัน ทั้งนี้ต้องมีอาจารย์มาจากทุกคณะ</t>
  </si>
  <si>
    <t>องค์ประกอบที่ 3 การบริการวิชาการ</t>
  </si>
  <si>
    <t>ตัวบ่งชี้ที่ 3.1  การบริการวิชาการแก่สังคม</t>
  </si>
  <si>
    <t>ตัวบ่งชี้ที่ 4.1  ระบบและกลไกการทำนุบำรุงศิลปะและวัฒนธรรม</t>
  </si>
  <si>
    <t>องค์ประกอบที่ 5 การบริหารจัดการ</t>
  </si>
  <si>
    <t>ตัวบ่งชี้ที่ 5.1  การบริหารของสถาบันเพื่อการกำกับติดตามผลลัพธ์ตามพันธกิจ กลุ่มสถาบันและเอกลักษณ์ ของสถาบัน</t>
  </si>
  <si>
    <t xml:space="preserve">1. พัฒนาแผนกลยุทธ์จากผลการวิเคราะห์ SWOT กับวิสัยทัศน์ของสถาบัน และพัฒนาไปสู่แผนกลยุทธ์ทางการเงินและแผนปฏิบัติการประจำปีตามกรอบเวลาเพื่อให้บรรลุผลตามตัวบ่งชี้และเป้าหมายของแผนกลยุทธ์ </t>
  </si>
  <si>
    <t xml:space="preserve"> 2. การกำกับติดตามส่งเสริมสนับสนุนให้ทุกคณะดำเนินการวิเคราะห์ข้อมูลทางการเงินที่ประกอบไปด้วยต้นทุนต่อหน่วยในแต่ละหลักสูตร สัดส่วนค่าใช้จ่ายเพื่อพัฒนานักศึกษา อาจารย์ บุคลากร การจัดการเรียนการสอน อย่างต่อเนื่อง เพื่อวิเคราะห์ความคุ้มค่าของการบริหารหลักสูตร ประสิทธิภาพ ประสิทธิผลในการผลิตบัณฑิต และโอกาสในการแข่งขัน</t>
  </si>
  <si>
    <t xml:space="preserve"> 3. ดำเนินงานตามแผนบริหารความเสี่ยง ที่เป็นผลจากการวิเคราะห์และระบุปัจจัยเสี่ยงที่เกิดจากปัจจัยภายนอก หรือปัจจัยที่ไม่สามารถควบคุมได้ที่ส่งผลต่อการดำเนินงานตามพันธกิจของสถาบันและให้ระดับความเสี่ยงลดลงจากเดิม</t>
  </si>
  <si>
    <t xml:space="preserve"> 4. บริหารงานด้วยหลักธรรมาภิบาลอย่างครบถ้วนทั้ง 10 ประการที่อธิบายการดำเนินงานอย่างชัดเจน</t>
  </si>
  <si>
    <t xml:space="preserve"> 5. การกำกับติดตามส่งเสริมสนับสนุนให้ทุกหน่วยงานในสถาบันมีการดำเนินการจัดการความรู้ตามระบบ</t>
  </si>
  <si>
    <t xml:space="preserve"> 6. การกำกับติดตามผลการดำเนินงานตามแผนการบริหารและแผนพัฒนาบุคลากรสายวิชาการและสายสนับสนุน</t>
  </si>
  <si>
    <t xml:space="preserve">7. การกำกับติดตามส่งเสริมสนับสนุนให้ทุกหน่วยงานในสถาบันมีการดำเนินงานด้านการประกันคุณภาพภายในตามระบบและกลไกที่สถาบันกำหนด ประกอบด้วย การควบคุมคุณภาพ การตรวจสอบคุณภาพ และการประเมินคุณภาพ </t>
  </si>
  <si>
    <t xml:space="preserve">ตัวบ่งชี้ที่ 5.2  ผลการบริหารงานของคณะ   </t>
  </si>
  <si>
    <t>1.ผลรวมของค่าคะแนนประเมินระดับคณะของทุกคณะ</t>
  </si>
  <si>
    <t>3.ค่าเฉลี่ยของคะแนนประเมินระดับคณะของทุกคณะ</t>
  </si>
  <si>
    <t xml:space="preserve">ตัวบ่งชี้ที่ 5.3  ระบบกำกับการประกันคุณภาพหลักสูตรและคณะ  </t>
  </si>
  <si>
    <t xml:space="preserve"> 1. มีระบบและกลไกในการกำกับติดตามการดำเนินการประกันคุณภาพหลักสูตรและให้เป็นไป         ตามองค์ประกอบการประกันคุณภาพหลักสูตรและคณะ </t>
  </si>
  <si>
    <t xml:space="preserve"> 2. มีคณะกรรมการกำกับ ติดตามการดำเนินงานให้เป็นไปตามระบบที่กำหนดในข้อ 1 และรายงาน     ผลการติดตามให้กรรมการระดับสถาบันเพื่อพิจารณา</t>
  </si>
  <si>
    <t xml:space="preserve"> 3. มีการจัดสรรทรัพยากรเพื่อสนับสนุนการดำเนินงานของหลักสูตรและคณะให้เกิดผลตามองค์ประกอบการประกันคุณภาพหลักสูตรและคณะ</t>
  </si>
  <si>
    <t xml:space="preserve"> 4. นำผลการประเมินคุณภาพทุกหลักสูตรและทุกคณะที่ผ่านการพิจารณาของกรรมการระดับสถาบันเสนอสภามหาวิทยาลัยเพื่อพิจารณา </t>
  </si>
  <si>
    <t xml:space="preserve"> 5. นำผลการประเมินและข้อเสนอแนะจากสภามหาวิทยาลัยมาปรับปรุงหลักสูตรและการดำเนินงานของคณะให้มีคุณภาพดีขึ้นอย่างต่อเนื่อง</t>
  </si>
  <si>
    <t xml:space="preserve"> 2. ในแผนการจัดกิจกรรมพัฒนานักศึกษาให้ดำเนินกิจกรรมในประเภทต่อไปนี้ให้ครบถ้วน
  - กิจกรรมส่งเสริมคุณลักษณะบัณฑิตที่พึงประสงค์ที่กำหนดโดยสถาบัน
  - กิจกรรมกีฬา หรือการส่งเสริมสุขภาพ
  - กิจกรรมบำเพ็ญประโยชน์ หรือรักษาสิ่งแวดล้อม
  - กิจกรรมเสริมสร้างคุณธรรมและจริยธรรม
  - กิจกรรมส่งเสริมศิลปะและวัฒนธรรม</t>
  </si>
  <si>
    <t>2.จำนวนคณะและหน่วยงานวิจัยทั้งหมดของสถาบัน</t>
  </si>
  <si>
    <t>1.ผลรวมของผลการประเมินเงินสนับสนุนงานวิจัยของทุกคณะและหน่วยงานวิจัย</t>
  </si>
  <si>
    <t>1.ผลรวมของผลการประเมินผลงานทางวิชาการของทุกคณะและหน่วยงานวิจัย</t>
  </si>
  <si>
    <t>2.จำนวนคณะและหน่วยงานวิจัยทั้งหมดในสถาบัน</t>
  </si>
  <si>
    <t>องค์ประกอบที่ 4 การทำนุบำรุงศิลปะและวัฒนธรรม</t>
  </si>
  <si>
    <t>คะแนนการประเมินเฉลี่ย</t>
  </si>
  <si>
    <t>คะแนนเฉลี่ย</t>
  </si>
  <si>
    <t xml:space="preserve">องค์ประกอบที่ 2 การวิจัย  </t>
  </si>
  <si>
    <t xml:space="preserve">องค์ประกอบที่ 4  การทำนุบำรุงศิลปะและวัฒนธรรม </t>
  </si>
  <si>
    <t>ตาราง 2 ตารางวิเคราะห์ผลการประเมินระดับมหาวิทยาลัย</t>
  </si>
  <si>
    <t>Update 5-9-59</t>
  </si>
  <si>
    <r>
      <t>ชื่อหน่วยงานที่ประเมิน :</t>
    </r>
    <r>
      <rPr>
        <sz val="16"/>
        <color theme="1"/>
        <rFont val="Angsana New"/>
        <family val="1"/>
      </rPr>
      <t xml:space="preserve"> มหาวิทยาลัยราชภัฏวไลยอลงกรณ์ ในพระบรมราชูปถัมภ์</t>
    </r>
  </si>
  <si>
    <t>ที่</t>
  </si>
  <si>
    <t>หน่วยงาน</t>
  </si>
  <si>
    <t>จำนวนเงินสนับสนุนวิจัยและงานสร้างสรรค์ (บาท)</t>
  </si>
  <si>
    <t>จำนวนอาจารย์ประจำทั้งหมด</t>
  </si>
  <si>
    <t>ภายนอก</t>
  </si>
  <si>
    <t>ภายใน</t>
  </si>
  <si>
    <t>รวม</t>
  </si>
  <si>
    <t>(นับปฏิบัติงานจริงไม่ร่วมผู้ลาศึกษาต่อ)</t>
  </si>
  <si>
    <t>คณะวิทยาศาสตร์และเทคโนโลยี</t>
  </si>
  <si>
    <t xml:space="preserve">- กลุ่มสาขาวิชาวิทยาศาสตร์และเทคโนโลยี </t>
  </si>
  <si>
    <t xml:space="preserve">- กลุ่มสาขาวิชาวิทยาศาสตร์สุขภาพ </t>
  </si>
  <si>
    <t>คณะเทคโนโลยีอุตสาหกรรม</t>
  </si>
  <si>
    <t>คณะเทคโนโลยีการเกษตร</t>
  </si>
  <si>
    <t>คณะมนุษยศาสตร์และสังคมศาสตร์</t>
  </si>
  <si>
    <t>คณะครุศาสตร์</t>
  </si>
  <si>
    <t>คณะวิทยาการจัดการ</t>
  </si>
  <si>
    <t>วิทยาลัยนวัตกรรมการจัดการ</t>
  </si>
  <si>
    <t>- กลุ่มสาขาวิชาวิทยาศาสตร์และเทคโนโลยี</t>
  </si>
  <si>
    <t>- กลุ่มสาขาวิชามนุษยศาสตร์ฯ</t>
  </si>
  <si>
    <t>คะแนนประเมิน</t>
  </si>
  <si>
    <t>- กลุ่มสาขาวิชาวิทยาศาสตร์สุขภาพ</t>
  </si>
  <si>
    <t>คณะมนุษยศาสตร์ฯ</t>
  </si>
  <si>
    <t>ภาพรวมมหาวิทยาลัย (ค่าเฉลี่ย)</t>
  </si>
  <si>
    <t>ส.วิจัย</t>
  </si>
  <si>
    <t>ค่าน้ำหนัก</t>
  </si>
  <si>
    <t>ชื่อ-สกุลอาจารย์</t>
  </si>
  <si>
    <t>ชื่อผลงานวิชาการ/งานสร้างสรรค์</t>
  </si>
  <si>
    <t>คุณภาพผลงานวิชาทางวิชาการ</t>
  </si>
  <si>
    <t>การประชุมวิชาการเสนอผลงานวิจัยระดับบัณฑิตศึกษาครั้งที่ 11 วันที่ 20 กุมภาพันธ์ 2559 มหาวิทยาลัยราชภัฏสุรินทร์</t>
  </si>
  <si>
    <t>ผศ.ดร.เบญจลักษณ์ เมืองมีศรี</t>
  </si>
  <si>
    <t>ผศ.ประภาวรรณ แพงศรี</t>
  </si>
  <si>
    <t>การปรับปรุงกระบวนการเตรียมวัตถุดิบและขนย้ายสินค้าเพื่อการผลิต (Improvement of Material Preparation and Transfer Process)การประชุมวิชาการระดับชาติด้านเทคโนโลยีอุตสาหกรรมและวิศวกรรม ครั้งที่ 1 วันที่ 19 ตุลาคม 2558</t>
  </si>
  <si>
    <t>การศึกษาการวางตำแหน่งต้นกำลังที่เหมาะสมสำหรับรถไถเดินตาม 5 แรงม้าต่อพ่วงเครื่องปลูกกระเทียม 10 แถว การประชุมวิชาการระดับชาติ นวัตกรรมและการจัดการอุตสาหกรรมอย่างยั่งยืน ครั้งที่ 4 วันที่ 1 – 2 ตุลาคม 2558</t>
  </si>
  <si>
    <t>การประชุมวิชาการ วันที่ 29 กรกฎาคม 2558 มหาวิทยาลัยธุรกิจบัณฑิตย์</t>
  </si>
  <si>
    <t>การประชุมสัมมนาวิชาการนำเสนอผลงานวิจัยระดับชาติและนานาชาติเครือข่ายบัณฑิตศึกษา มรภ.ภาคเหนือ ครั้งที่ 15 มรภ.นครสวรรค์ วันที่ 23 กรกฎาคม 2558</t>
  </si>
  <si>
    <t>ผศ.ดร.สุวรรณา  โชติสุกานต์</t>
  </si>
  <si>
    <t>งานประชุมวิชาการระดับชาติ มหาวิทยาลัยราชภัฏนครปฐม ครั้งที่ 7 วันที่ 26 ก.พ. 2558</t>
  </si>
  <si>
    <t>ประชุมวิชาการระดับชาติ มหาวิทยาลัยราชภัฏนครปฐม ครั้งที่ 7 วันที่ 26 ก.พ. 2558</t>
  </si>
  <si>
    <t>นำเสนอผลงาน การประชุมวิชาการการบริหารจัดการ ครั้งที่ 10 ม.ธุรกิจบัณฑิตย์  27 มีนาคม 2558</t>
  </si>
  <si>
    <t xml:space="preserve">การประชุมวิชาการระดับชาติ เพื่อนำเสนอผลงานวิจัยระดับบัณฑิตศึกษา ครั้งที่ 7 ณ มหาวิทยาลัยรามคำแหง หัวหมาก วันที่ 25 พฤศจิกายน 2558  </t>
  </si>
  <si>
    <t>เสนอผลงานในโครงการประชุมวิชาการเสนอผลงานวิจัยระดับบัณฑิตศึกษา ครั้งที่ 9 ในวันที่ 14 ก.พ. 2558 มหาวิทยาลัยราชภัฏสุรินทร์</t>
  </si>
  <si>
    <t>การประชุมวิชาการระดับชาติครั้งที่ 1 วันที่ 27 พฤศจิกายน 2558 วิทยาลัยเทคโนโลยีสยาม</t>
  </si>
  <si>
    <t>การจัดประชุมวิชาการเสนอผลงานวิจัยระดับบัณฑิตศึกษาแห่งชาติ ครั้งที่ 37 วันที่ 17-18 ธันวาคม 2558 มหาวิทยาลัยราชภัฏเชียงราย</t>
  </si>
  <si>
    <t>การจัดประชุมวิชาการและเสนอผลงานวิจัยระดับชาติ ครั้งที่ 35 วันที่ 25-26 มิถุนายน 2558 มหาวิทยาลัยราชภัฏราชนครินทร์</t>
  </si>
  <si>
    <t>การนำเสนอผลงานวิจัยระดับบัณฑิตศึกษา มสธ. ครั้งที่ 5 ในวันที่ 27 พฤศจิกายน 2558 มหาวิทยาลัยสุโขทัยธรรมาธิราช</t>
  </si>
  <si>
    <t xml:space="preserve">การประชุมวิชาการระดับชาติ “บัณฑิตศึกษากับการพัฒนาทรัพยากรมนุษย์ในศตวรรษที่ 21” </t>
  </si>
  <si>
    <t>นำเสนอบทความในการประชุมวิชาการทางการศึกษาระดับชาติ ครั้งที่ 5 คณะครุศาสตร์อุตสหกรรม สจล. 12 มิถุนายน 2558</t>
  </si>
  <si>
    <t xml:space="preserve">อ.พัชรินทร์ เศรษฐีชัยชนะ </t>
  </si>
  <si>
    <t>อ.ธัญวรัตน์ ปิ่นทอง</t>
  </si>
  <si>
    <t>ปัจจัยที่มีผลต่อการป้องกันและปราบปรามยาเสพติดในภาคตะวันออกเฉียงเหนือตอนบน นำเสนอผลงานในการประชุมวิชาการและนำเสนอผลงานวิจัยระดับชาติ ณ มหาวิทยาลัยเวสเทิร์น วันที่ 24 มกราคม 2558</t>
  </si>
  <si>
    <t>อ.พลเอก ดร.เกษมชาติ  นเรศเสนีย์</t>
  </si>
  <si>
    <t>ปัจจัยที่มีอิทธิพลต่อการพัฒนากลยุทธ์การสร้างภูมิคุ้มกันและป้องกันยาเสพติดในจังหวัดร้อยเอ็ด การประชุมวิชาการและนำเสนอผลงานวิจัยระดับชาติ และนานาชาติประจำปี 2558 มหาวิทยาลัยราชภัฏนครราชสีมา 24-25 ตุลาคม 2558</t>
  </si>
  <si>
    <t>อ.ดร.พรนภา เตียสุธิกุล</t>
  </si>
  <si>
    <t>นโยบายการบริหารจัดการทรัพยากรมนุษย์สายวิชาการในมหาวิทยาลัยราชภัฏสวนสุนัทา การประชุมวิชาการ ระดับชาติ ครั้งที่ 2 ณ โรงแรมรอยัลริเวอร์ 26-27 พฤศจิกายน 2558</t>
  </si>
  <si>
    <t>อ.ดร.เรืองเดช  เร่งเพียร</t>
  </si>
  <si>
    <t>คุณภาพการบริการของศูนย์บริการการกีฬา มหาวิทยาลัยธรรมศาสตร์ ศูนย์รังสิต จังหวัดปทุมธานี การประชุมวิชาการเสนอผลงานวิจัยระดับบัณฑิตศึกษาแห่งชาติ ครั้งที่ 34</t>
  </si>
  <si>
    <t>รศ.วรุณี  เชาวน์สุขุม</t>
  </si>
  <si>
    <t>การวิเคราะห์ความเป็นไปได้การลงทุนโครงการโรงผลิตน้ำประปาทรัพย์เพิ่มพูน บริษัทนวนคร แอส-เซส จำกัด การประชุมระดับชาติ ม.เทคโนโลยีราชมงคลล้านนา เชียงราย ประจำปี 2558  ระหว่างวันที่ 23-24 มี.ค. 58</t>
  </si>
  <si>
    <t>อิทธิพลขององค์การแห่งการเรียนรู้ต่อการปรับปรุงงานเพื่อลดความสูญเปล่าในกระบวนการในการผลิตของพนักงานระดับปฏิบัติการ บริษัทฟาบริเนท จำกัด</t>
  </si>
  <si>
    <t>ความสัมพันธ์ระหว่างผลตอบแทนกับความผูกพันต่อองค์การของพนักงานบริษัทบางกอกโซลาร์ พาวเวอร์ จำกัด งานประชุมวิชาการและนำเสนอผลงานวิจัยระดับชาติ นานาชาติ ครั้งที่ 6  วันที่ 28 – 29 เม.ย. 58 ณ มหาวิทยาลัยราชภัฏสวนสุนันทา</t>
  </si>
  <si>
    <t>7.ปัจจัยที่มีอิทธิพลต่อความตั้งใจใช้บริการซ้ำของผู้ใช้บริการ แผนกผู้ป่วยนอกโรงพยาบาลปทุมเวชงานประชุมวิชาการและนำเสนอผลงานวิจัยระดับชาติ นานาชาติ ครั้งที่ 6 วันที่ 28–29 เม.ย. 58 ณ มหาวิทยาลัยราชภัฏสวนสุนันทา</t>
  </si>
  <si>
    <t>การศึกษาความเป็นไปได้ในการตั้งศูนย์กระจายสินค้า การประชุมทางวิชาการและนำเสนอผลงานวิจัยระดับชาติ อุตสาหกรรมศาสตร์และเทคโนโลยีครั้งที่ 3 ITTECON 2015 ภายใต้แนวความคิด นวัตกรรมและเทคโนโลยี เพื่อความมั่นคง พลังงาน  สิ่งแวดล้อมอย่างยั่งยืน วันที่ 10 พ.ค. 58 ณ มหาวิทยาลัย   ราชภัฏบ้านสมเด็จเจ้าพระยา</t>
  </si>
  <si>
    <t>การประยุกต์ใช้เซฟวิ่งอัลกอริทึ่มในปัญหาการจัดการเส้นทางเดินรถ กรณีศึกษา บริษัท L การประชุมทางวิชาการและนำเสนอผลงานวิจัยระดับชาติ อุตสาหกรรมศาสตร์และเทคโนโลยีครั้งที่ 3 ITTECON 2015 ภายใต้แนวความคิด นวัตกรรมและเทคโนโลยี เพื่อความมั่นคงพลังงาน  สิ่งแวดล้อมอย่างยั่งยืนวันที่ 10 พ.ค. 58 ณ มหาวิทยาลัยราชภัฏบ้านสมเด็จเจ้าพระยา</t>
  </si>
  <si>
    <t>การลดข้อผิดพลาดจากการคัดแยกสินค้าของผู้ให้บริการด้านการขนส่ง  โดยใช้ระบบการควบคุมด้วยการมองเห็น  กรณีศึกษา บริษัท ซี จำกัด การประชุมทางวิชาการและนำเสนอผลงานวิจัยระดับชาติ อุตสาหกรรมศาสตร์และเทคโนโลยีครั้งที่ 3 ITTECON 2015 ภายใต้แนวความคิด นวัตกรรมและเทคโนโลยี เพื่อความมั่นคงพลังงาน  สิ่งแวดล้อมอย่างยั่งยืนวันที่ 10 พ.ค.58 ณ มหาวิทยาลัย     ราชภัฏบ้านสมเด็จเจ้าพระยา</t>
  </si>
  <si>
    <t>ความสัมพันธ์ระหว่างส่วนประสมทางการตลาดบริการกับพฤติกรรมการเลือกใช้บริการนวดแผนไทยในจังหวัดปทุมธานี การประชุมสัมมนาทางวิชาการวิชาการเสนอผลงานวิจัย ระดับชาติ ครั้งที่ 9 มหาวิทยาลัยเทคโนโลยีราชมงคลตะวันออก ระหว่างวันที่  11-13 พ.ค. 58</t>
  </si>
  <si>
    <t>ปัจจัยส่วนประสมทางการตลาดบริการในการเลือกซื้อรถจักรยานยนต์ที่มีขนาดกระบอกสูบ 151 ซีซี ขึ้นไป ในเขตกรุงเทพมหานคร  การประชุมสัมมนาทางวิชาการวิชาการเสนอผลงานวิจัย ระดับชาติ ครั้งที่ 9 มหาวิทยาลัยเทคโนโลยีราชมงคลตะวันออก ระหว่างวันที่  11-13 พ.ค. 58</t>
  </si>
  <si>
    <t>คุณภาพการบริการที่ส่งผลต่อความจงรักภักดีต่อตราสินค้าของลูกค้า ร้านเมโลดี้มาสสาซแอนด์สปา  การประชุมวิชาการเสนอผลงานวิจัย ระดับชาติ ครั้งที่ 35 มหาวิทยาลัยราชภัฏราชนครินทร์ ระหว่างวันที่  25-26 มิ.ย. 58</t>
  </si>
  <si>
    <t>ความสัมพันธ์ระหว่างบรรยากาศองศ์การกับความผูกพันต่อองค์การของพนักงานบริษัท พรี- ไซซอีเลคตริค แมนูแฟคเจอริ่ง จำกัด การประชุมวิชาการเสนอผลงานวิจัย ระดับชาติ ครั้งที่ 35 มหาวิทยาลัยราชภัฏราชนครินทร์ ระหว่างวันที่  25-26 มิ.ย. 58</t>
  </si>
  <si>
    <t>คุณภาพชีวิตในการทำงานของผู้ประกอบอาชีพช่างทองในอำเภอเสนา จังหวัดพระนครศรีอยุธยา การประชุมวิชาการเสนอผลงานวิจัย ระดับชาติ ครั้งที่ 35 มหาวิทยาลัยราชภัฏราชนครินทร์ ระหว่างวันที่  25-26 มิ.ย. 58</t>
  </si>
  <si>
    <t>วัฒธรรมองค์กรที่ส่งผลต่อการเป็นองค์การแห่งการเรียนรู้ของพนักงาน บริษัท ไทยซูซูกิมอเตอร์ จำกัด  การประชุมวิชาการเสนอผลงานวิจัย ระดับชาติ ครั้งที่ 35 มหาวิทยาลัยราชภัฏราชนครินทร์ ระหว่างวันที่  25-26 มิ.ย. 58</t>
  </si>
  <si>
    <t>ปัจจัยส่วนประสมการตลาดบริการที่ส่งผลต่อภาพลักษณ์เชิงธุรกิจของโรงเรียนทิพพากรวิทยาการ  การประชุมวิชาการเสนอผลงานวิจัย ระดับชาติ ครั้งที่ 35 มหาวิทยาลัยราชภัฏราชนครินทร์ ระหว่างวันที่  25-26 มิถุนายน 58</t>
  </si>
  <si>
    <t>การวิเคราะห์ต้นทุนและผลตอบแทนของการทำธุรกิจดอกไม้จันทน์กรณีศึกษากลุ่มกองทุนพัฒนาบทบาทสตรี  ตำบลหนองขนาก อำเภอท่าเรือ จังหวัดพระนครศรีอยุธยา  นำเสนอผลงานวิจัยระดับชาติ 2558 มหาวิทยาลัยราชภัฏธนบุรี วันที่ 24 ก.ค. 58</t>
  </si>
  <si>
    <t>ปัจจัยที่ส่งผลต่อความผูกพันต่อองค์การของพนักงานระดับปฏิบัติการสายงานผลิต บริษัท เอ็ม.ซี.เอส. สตีล จำกัด (มหาชน) นำเสนอผลวิจัยบัณฑิตศึกษา ครั้งที่ 10 ประจำปีการศึกษา 2558 วันที่ 11 ส.ค. 58 มหาวิทยาลัยรังสิต</t>
  </si>
  <si>
    <t>การปรับปรุงประสิทธิภาพของการจัดวางตำแหน่งที่ตั้งสินค้าสำเร็จรูปบนชั้นวาง  กรณีศึกษา  บริษัท เอบีซี อินเตอร์ จำกัด การประชุมทางวิชาการและนำเสนอผลงานวิจัยระดับชาติ ครั้งที่ 5  ภายใต้แนวความคิด บทบาทของมหาวิทยาลัยเพื่อรับใช้สังคม  ยกระดับชีวิตความเป็นอยู่ของท้องถิ่น  วันที่ 18 ส.ค. 58 ณ คณะวิทยาการจัดการ มหาวิทยาลัยราชภัฏนครราชสีมา</t>
  </si>
  <si>
    <t>การลดต้นทุนการขนส่งเพื่อรถการเดินรถบรรทุกเที่ยวเปล่า  บริษัท แอลเอฟ Transport (Thailand) Ltd.  การประชุมทางวิชาการและนำเสนอผลงานวิจัยระดับชาติ ครั้งที่ 5  ภายใต้แนวความคิด บทบาทของมหาวิทยาลัยเพื่อรับใช้สังคม ยกระดับชีวิตความเป็นอยู่ของท้องถิ่น  วันที่ 18 ส.ค. 58 ณ คณะวิทยาการจัดการ มหาวิทยาลัยราชภัฏนครราชสีมา</t>
  </si>
  <si>
    <t>ความสัมพันธ์ระหว่างส่วนประสมการสื่อสารการตลาดกับคุณค่าตราสินค้าเครื่องดื่มชาเขียวพร้อมดื่มในเขตเทศบาลเมืองคลองหลวง อำเภอคลองหลวง จังหวัดปทุมธานี  การประชุมทางวิชาการและนำเสนอผลงานวิจัยระดับชาติ ครั้งที่ 5  ภายใต้แนวความคิด บทบาทของมหาวิทยาลัยเพื่อรับใช้สังคม  ยกระดับชีวิตความเป็นอยู่ของท้องถิ่น  วันที่ 18 ส.ค. 58  ณ คณะวิทยาการจัดการ มหาวิทยาลัยราชภัฏนครราชสีมา</t>
  </si>
  <si>
    <t>คุณภาพการบริการที่ส่งผลต่อการใช้บริการซ้ำของสนามฟุตบอลหญ้าเทียมสกายซอคเกอร์ อำเภอธัญบุรี จังหวัดปทุมธานี การประชุมทางวิชาการและนำเสนอผลงานวิจัยระดับชาติ ครั้งที่ 5  ภายใต้แนวความคิด บทบาทของมหาวิทยาลัยเพื่อรับใช้สังคม  ยกระดับชีวิตความเป็นอยู่ของท้องถิ่น  วันที่ 18 ส.ค. 58 ณ คณะวิทยาการจัดการ มหาวิทยาลัยราชภัฏนครราชสีมา</t>
  </si>
  <si>
    <t>รศ.วรุณี  เชาว์สุขุม</t>
  </si>
  <si>
    <t>การศึกษาความพึงพอใจของนักท่องเที่ยวต่อองค์ประกอบของการท่องเที่ยว ตลาดสามชุก จังหวัดสุพรรณบุรี งานประชุมวิชาการเสนอผลงานวิจัยระดับบัณฑิตศึกษา มสธ. ครั้งที่ 5 วันที่ 27 พ.ย. 58  มหาวิทยาลัยสุโขทัยธรรมาธิราช</t>
  </si>
  <si>
    <t>ศึกษาการใช้แผ่น Slip Sheet ในคลังสินค้า กรณีศึกษา บริษัท จีแอลเอส แมนนูแฟคเจอริ่ง จำกัด การประชุมสัมมนาเชิงวิชาการด้านการจัดการโลจิสติกส์และโซ่อุปทาน ครั้งที่ 15 ระหว่างวันที่ 25-29 พ.ย.58 ณ สำนักวิชาการจัดการ มหาวิทยาลัยแม่ฟ้าหลวง</t>
  </si>
  <si>
    <t>อ.ปริญ วีระพงษ์</t>
  </si>
  <si>
    <t>การลดระยะเวลาของการหยิบสินค้าโดยใช้พื้นที่ Shopping Area กรณีศึกษา บริษัท ABC คลังสินค้า จำกัด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</si>
  <si>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การปรับปรุงพื้นที่จัดเก็บสินค้าและวัตถุดิบ กรณีศึกษา ศูนย์กระจายอะไหล่คูโบต้า บริษัท สยามคูโบต้า คอร์ปอเรชั่น จำกัด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</si>
  <si>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การศึกษาความพึงพอใจของนักศึกษาเพื่อเพิ่มคุณค่าในโซ่คุณค่าต่อการจัดการเรียนการสอนรายวิชา CO 301 เตรียมสหกิจศึกษากรณีศึกษา ศูนย์สหกิจศึกษาและพัฒนาอาชีพ มหาวิทยาลัยกรุงเทพ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</si>
  <si>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การวิเคราะห์ความเสี่ยงด้านต้นทุนการขนส่งสำหรับธุรกิจฟาร์มเห็ด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</si>
  <si>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การลดระยะเวลาทำงานบริเวณพื้นที่รับ–จ่ายสินค้าภายในคลังสินค้าด้วยเทคโนโลยีอาร์เอฟไอดี : กรณีศึกษา บริษัท เอ จำกัด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</si>
  <si>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การศึกษาการเกิดของเสียในแผนก NON – FOOD กรณีศึกษา บริษัท เซ็นทรัล ฟู้ด รีเทล จำกัด  การประชุมวิชาการ การนำเสนอ 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</si>
  <si>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46.การประยุกต์ใช้อัลลกอริทึ่มแบบประหยัดในการจัดเส้นทางการขนส่ง : กรณีศึกษา บริษัท ไทยมิตชิ คอร์ปอเรชั่น จำกัด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</si>
  <si>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ความสัมพันธ์ระหว่างภาวะผู้นำการเปลี่ยนแปลงและความผูกพันต่อองค์การของพนักงาน บริษัท เอสเคโพลีเมอร์ จำกัด การประชุมวิชาการ นำเสนอผลวิจัยบัณฑิตศึกษาระดับชาติและระดับนานาชาติ ครั้งที่ 7 วันที่ 25 ธ.ค. 58  มหาวิทยาลัยเกษตรศาสตร์</t>
  </si>
  <si>
    <t>ปัจจัยที่มีผลต่อพฤติกรรมการชำระหนี้เงินกู้ของเกษตรกร ลูกค้าธนาคารเพื่อการเกษตร อำเภอคลองหลวง จังหวัดปทุมธานี  การประชุมวิชาการ นำเสนอผลวิจัยบัณฑิตศึกษาระดับชาติและระดับนานาชาติ ครั้งที่ 7 วันที่ 25 ธ.ค. 58  มหาวิทยาลัยเกษตรศาสตร์</t>
  </si>
  <si>
    <t>ผศ.ดร.สุธาสินี  นิลแสง</t>
  </si>
  <si>
    <t>ศักยภาพของคอลลาเจนที่ห่อหุ้มด้วยวิธีเอนแคปซูเลชันในสภาวะความเป็นกรดสูง.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459-463</t>
  </si>
  <si>
    <t>รศ.ดร.ศศมล ผาสุข และคณะ</t>
  </si>
  <si>
    <t>การพัฒนาคุณธรรมจริยธรรมของนักศึกษาในสาขาวิชาทางด้าน.การประชุมวิชาการระดับชาติครั้งที่ 2 สถาบัน วิจัยและพัฒนา มหาวิทยาลัยกำแพงเพชร วันที่ 22 ธันวาคม 2558 หน้า 297-305</t>
  </si>
  <si>
    <t>รศ.ดร.ศศมล ผาสุข และผศ.ดร.ปัณณ์รภัส ถกลภักดี</t>
  </si>
  <si>
    <t>ปริมาณสาระสำคัญและฤทธิ์ต้านอนุมูลอิสระของสารสกัดหยาบดอกราชพฤกษ์.การประชุมวิชาการระดับชาติ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440-445.</t>
  </si>
  <si>
    <t>รศ.ดร.ศศมล ผาสุข</t>
  </si>
  <si>
    <t>การสกัดและการวิเคราะห์องค์ประกอบทางเคมีในสารสกัดมะขามป้อม.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454-458.</t>
  </si>
  <si>
    <t xml:space="preserve">รศ.ดร.ศศมล ผาสุข </t>
  </si>
  <si>
    <t>ปริมาณฟีนอลิก ฟลาโวนอยด์ และแทนนิน ของสารสกัดหยาบเปลือกผลค้อที่มีฤทธิ์ต้านอนุมูลอิสระ.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471-478.</t>
  </si>
  <si>
    <t>อ.ดร.นิสา พักตร์วิไล และคณะ</t>
  </si>
  <si>
    <t>ศักยภาพของกากตะกอนน้ำเสียโรงพยาบาลเพื่อการผลิตเชื้อเพลิงอัดแท่ง.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817-820.</t>
  </si>
  <si>
    <t>อ.เยาวภา  แม่นปืน</t>
  </si>
  <si>
    <t>อ.วัชราภรณ์  วงศ์สกุลกาญจน์ และอาจารย์บุษยา  จูงาม</t>
  </si>
  <si>
    <t>การประเมินความรับสัมผัสสารเบนซีนของพนักงานในสถานีบริการน้ำมันเชื้อเพลิง กรณีศึกษา: อำเภอลำลูกกา จังหวัดปทุมธานี.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176-179</t>
  </si>
  <si>
    <t>อ.จูงามและวัชราภรณ์วงศ์สกุลกาญจน์</t>
  </si>
  <si>
    <t>การประเมินการปล่อยก๊าซเรือนกระจกของบริษัทอิเล็กทรอนิกส์นิคมอุตสาหกรรมนวนคร.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830-839</t>
  </si>
  <si>
    <t>อ.เยาวภา แม่นปืน</t>
  </si>
  <si>
    <t>ความเครียดจากการทำงานของพนักงานฝ่ายผลิต บริษัทแปรรูปอาหารแห่งหนึ่งในจังหวัดนครราชสีมา การประชุมทางวิชาการและนำเสนองานวิจัยระดับชาติ ครั้งที่ 3 “บทบาทของการวิจัยในกระแสโลกาภิวัตน์กับการพัฒนาประเทศ” 24  24 มกราคม 2558 หน้าที่ 10-18</t>
  </si>
  <si>
    <t>อ.พัชรลักษณ์  วัฒนไชย และคณะ</t>
  </si>
  <si>
    <t>การใช้นมและนมผงทดแทนกะทิในผลิตภัณฑ์ขนมปังสังขยารสนมเย็น. การประชุมวิชาการระดับชาติครั้งที่ 2 สถาบันวิจัยและพัฒนา มหาวิทยาลัยราชภัฏกำแพงเพชร วันที่ 22 ธันวาคม 2558 หน้า 620 -626</t>
  </si>
  <si>
    <t>การศึกษาผลการสะท้อนความร้อนจากรังสีอินฟาเรดของยางพาราที่ผสมสารตัวเติมด้วยแร่ทัลคัม การประชุมวิชาการระดับชาติครั้งที่ 2 สถาบันวิจัยและพัฒนา มหาวิทยาลัยราชภัฏกำแพงเพชร วันที่ 22 ธันวาคม 2558 หน้า 778-786</t>
  </si>
  <si>
    <t>อ.จุรีมาศ ดีอำมาตย์ และคณะ</t>
  </si>
  <si>
    <t>การพัฒนาผลิตภัณฑ์ขนมไข่ด้วยฟักทองผง การประชุมวิชาการระดับชาติครั้งที่ 2 สถาบันวิจัยและพัฒนา มหาวิทยาลัยราชภัฏกำแพงเพชร วันที่ 22 ธันวาคม 2558 หน้า 787 -792</t>
  </si>
  <si>
    <t>การพัฒนาผลิตภัณฑ์ข้าวเกรียบรากบัว การประชุมวิชาการระดับชาติครั้งที่ 2 สถาบันวิจัยและพัฒนา มหาวิทยาลัยราชภัฏกำแพงเพชร วันที่ 22 ธันวาคม 2558 หน้า 847 -853</t>
  </si>
  <si>
    <t>อ.ณฐพงศ์  เมธินธรังสรรค์ และอาจารย์ดวงเดือน วัฏฏานุรักษ์</t>
  </si>
  <si>
    <t>อ.รัตถชล อ่างมณี และคณะ</t>
  </si>
  <si>
    <t>การเพิ่มประสิทธิภาพจุลินทรีย์ในระบบบำบัดน้ำเสียชีวภาพ ด้วยหินพัมมิซ. รายงานสืบเนื่องจากการประชุมวิชาการระดับชาติ พิบูลสงคราม 2558วันที่ 13-14 กุมภาพันธ์ 2558 หน้า 100-104</t>
  </si>
  <si>
    <t>อ.ณหทัย โชติกลาง</t>
  </si>
  <si>
    <t>อ.ใยแพร ชาตรี</t>
  </si>
  <si>
    <t>การศึกษาภาวะโภชนาการของนักศึกษาในหลักสูตรวิทยาศาสตร์สุขภาพ: การศึกษาเบื้องต้น.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184 – 193</t>
  </si>
  <si>
    <t>การพยากรณ์การใช้แก็สโซฮอล์ E85 ในประเทศไทย ด้วยการวิเคราะห์การถดถอยพหุคูณ.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150 - 161</t>
  </si>
  <si>
    <t>อ.นันทิภา แก้วลี</t>
  </si>
  <si>
    <t>การสำรวจการปนเปื้อนของพยาธิในผักสดจากตลาดในอำเภอบางกะดี จังหวัดปทุมธานี.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189 - 193</t>
  </si>
  <si>
    <t>อ.กริช เรืองไชย</t>
  </si>
  <si>
    <t>การบริโภคอาหารว่างและเครื่องดื่มรสหวานที่ส่งผลต่อภาวะโภชนาการ ในนักเรียนมัธยม ศึกษาตอนต้น จังหวัดกาฬสินธุ์. การประชุมวิชาการและเสนอผลงานวิจัยวิทยาศาสตร์และเทคโนโลยีระดับชาติ ครั้งที่ 1”วิทยาศาสตร์และเทคโนโลยีก้าวไกลสู่ประชาคมอาเซียน” วันที่ 3 กรกฎาคม 2558 ณ มหาวิทยาลัยราชภัฏอุตรดิตถ์ หน้า 263 - 271</t>
  </si>
  <si>
    <t>ความเชื่อมั่นในความสามารถแห่งตนต่อการบริโภคผักผลไม้และอาหารว่าง ในนักเรียน มัธยมศึกษาตอนต้น โรงเรียนกาฬสินธุ์พิทยาสรรพ. การประชุมวิชาการและเสนอผลงานวิจัยระดับชาติ “สร้างสรรค์และพัฒนา เพื่อก้าวหน้าสู่ประชาคมอาเซียน” ครั้งที่ 2 18-19 มิถุนายน 2558 ณ วิทยาลัยนครราชสีมา อำเภอเมือง จังหวัดนครราชสีมา หน้า 85-90</t>
  </si>
  <si>
    <t>ผลของผงบร็อคโคลี่ที่มีผลต่อพฤติกรรม ความจำและการเรียนรู้ในหนูขาว. การประชุมวิชาการระดับชาติและนานาชาติ การจัดการความรู้และการเรียนรู้เพื่อพัฒนาทักษะในศตวรรษ ที่ 21 วันที่ 3-4 ธันวาคม 2558. หน้า 1-6</t>
  </si>
  <si>
    <t xml:space="preserve">ประสิทธิภาพการบำบัดน้ำเสียด้วยหญ้าแฝกที่ปลูกแบบแปลงพืชลอยน้ำ ในศูนย์ปรับปรุงคุณภาพน้ำของสวนอุตสาหกรรมเครือสหพัฒน์กบินทร์บุรี อำเภอกบินทร์บุรี จังหวัดปราจีนบุรี </t>
  </si>
  <si>
    <t>ผศ.ดร.ยุพดี เส้นขาว</t>
  </si>
  <si>
    <t>การพัฒนาชุดฝึกอบรมคอมพิวเตอร์ เรื่องการอนุรักษ์น้ำ สำหรับนักเรียนชั้นประถมศึกษาในโรงเรียนที่ตั้งอยู่บริเวณลุ่มแม่น้ำปราจีนบุรี จังหวัดปราจีนบุรี</t>
  </si>
  <si>
    <t>2) บทความวิจัยหรือบทความวิชาการฉบับสมบูรณ์ที่ตีพิมพ์ในรายงานสืบเนื่องจากการประชุมวิชาการระดับนานาชาติ หรือในวารสารทางวิชาการระดับชาติที่ไม่อยู่ในฐานข้อมูล ตามประกาศ ก.พ.อ. หรือระเบียบคณะกรรมการการอุดมศึกษาว่าด้วย หลักเกณฑ์การพิจารณาวารสารทางวิชาการสำหรับการเผยแพร่ผลงานทางวิชาการ พ.ศ. 2556 แต่สถาบันนำเสนอสภาสถาบันอนุมัติและจัดทำเป็นประกาศให้ทราบเป็นการทั่วไป และแจ้งให้ ก.พ.อ./กกอ. ทราบภายใน 30 วันนับแต่วันที่ออกประกาศ</t>
  </si>
  <si>
    <t>- ผลงานที่ได้รับการจดอนุสิทธิบัตร</t>
  </si>
  <si>
    <t>Efficiency of Cassis fistula Linn bark and Clitoria ternatea L. flowers crude extract in temporary white hair covering. Agriculture, Biology , and Life Science 23-25 June 2015 Sapporo, Japan pp. 250 - 257</t>
  </si>
  <si>
    <t>ผศ.ดร.สุธาสินี นิลแสง</t>
  </si>
  <si>
    <t xml:space="preserve">Antioxidant Activity and Total Polyphenol Content in Thai Herbal Fermented Juices. Agriculture, Biology , and Life Science 23-25 June 2015 Sapporo, Japan. pp. 203-212. </t>
  </si>
  <si>
    <t>ผศ.ณพัฐอร บัวฉุน</t>
  </si>
  <si>
    <t>อ.ดร.วีระวัฒน์ อุ่นเสน่หา</t>
  </si>
  <si>
    <t>Eco-efficiency with Social Performance of Fresh Latex Production in the Southern of Thailand. The Asian Conference on Sustainability, Energy and the Environment 2015 pp.843-848</t>
  </si>
  <si>
    <t>Factors Affecting Volume of Benzene in Urine of Workers in Gas Stations: Case Study of Lumlukka District, Pathumthani Province. 2nd International Conference on Engineering and Natural Science 22-24 July 2015 Tokyo Page 472-476.</t>
  </si>
  <si>
    <t>อ.วัชราภรณ์ วงศ์สกุลกาญจน์</t>
  </si>
  <si>
    <t>Ergonomics Problems of Cashiers in Department Store, Pratumtani Province, Thailand. Proceeding of The Second International Conference on Engineering and Natural Science. 22 – 24 July 2015. Page 485 – 491</t>
  </si>
  <si>
    <t>Factor affecting of cholinesterase levels in farmers exposed to pesticide. Proceeding of The Global Engineering &amp; Applied Science Conference. 2-4 December 2015. Page 930 - 938.</t>
  </si>
  <si>
    <t>อ.พชรกมล กลั่นบุศย์</t>
  </si>
  <si>
    <t xml:space="preserve">Water Qualities of Supplementary Drinking Bottles from Liquefied Petroleum Gas (LPG) Stations in Central Coastal Provinces, THAILAND. 2nd International Conference on Engineering and Natural Science 22-24 July 2015 Tokyo </t>
  </si>
  <si>
    <t xml:space="preserve">1อ.ดร.นิสา พักตร์วิไล </t>
  </si>
  <si>
    <t xml:space="preserve">The Study of Behavior, Knowledge and Practice of Solid Waste Management in Panyanantharam Temple, Patumthane Province, Thailand. 2nd International Conference on Engineering and Natural Science 22-24 July 2015 Tokyo </t>
  </si>
  <si>
    <t>อ.มนต์ทิพย์ จันทร์แก้ว และคณะ</t>
  </si>
  <si>
    <t xml:space="preserve">Heavy metals in meat and crustaceans products in Thailand Local markets. International conference on environmental and rural development ,March 2015 Philippines </t>
  </si>
  <si>
    <t>อ.กิตติศักดิ์ สิงห์สูงเนิน</t>
  </si>
  <si>
    <t>System Analysis of Research Repository Management System for Research University to Promote University Social Responsibility. The Sixth TCU International e-Learning Conference, 20-21 July 2015, Thailand. Page 82-86.</t>
  </si>
  <si>
    <t>อ.ดร. พรรณวิภา แพงศรี</t>
  </si>
  <si>
    <t xml:space="preserve">Detection of Coxiella in Brown Dog Ticks (Rhipicephalus Sanguineus) at  Pathumthani Province, Thailand. International Conference on Life Science and Biological Engineering 2-4 December 2015. Tokyo. Page 144-149 </t>
  </si>
  <si>
    <t>อ.วัฒนา อัจฉริยะโพธา</t>
  </si>
  <si>
    <t>The Identification of Polyethylene Terephthalate (PET) Waste Fungi in Phathuntani Province (Thailand) that Produce Cutinase for Application in Polyester Fiber Modification. Global Engineering &amp; Applied Science Conference  2-4 December 2015. Tokyo. Page 775-782.</t>
  </si>
  <si>
    <t>อ.ดร.ประภาพร ชุลีลัง</t>
  </si>
  <si>
    <t>Potassium iodate supplementation in layer drinking water for iodine enriched egg and laying performance. the 5 th International Conference on Sustainable Animal Agriculture for Developing Countries 27-30 October 2015,Bangkok</t>
  </si>
  <si>
    <t>ผศ.เศกพร ตันศรีประภาศิริ</t>
  </si>
  <si>
    <t>Mango Bottom Ash from Wood Furniture Industries for Stoneware Pottery Glaze (ICENS July 22-24,2015, Waseda University,Tokyo,Japen)</t>
  </si>
  <si>
    <t>A Study of Performance on Ad-Hoc Network with Polar Code. International Conference on Engineering and Applied Science 2015 20-22 July 2015 Hokkaido, Japan</t>
  </si>
  <si>
    <t>Water Cycle and Artificial Bee Colony Based Algorithms for Optimal Order Allocation Problem with Mixed Quantity Discount Scheme การประชุมวิชาการนานาชาติ Industrial Engineering,Management Science and Applications 2015</t>
  </si>
  <si>
    <t>ผศ.ดร.สอาด บรรเจิดฤทธิ์</t>
  </si>
  <si>
    <t>Factors Affecting Effectiveness of Logigtics  Service  Personel Recruitment in Central Thailand. Intrenational symposium on business and management fall session 2015, 8-10 September 2015,Kyoto Japan</t>
  </si>
  <si>
    <t>อ.พัชรินทร์ เศรษฐีชัยชนะ</t>
  </si>
  <si>
    <t>3) บทความวิจัยหรือบทความวิชาการฉบับสมบูรณ์ที่ตีพิมพ์ในวารสารวิชาการที่ปรากฏในฐานข้อมูล TCI กลุ่มที่ 2</t>
  </si>
  <si>
    <t>อ.กนกนาฏ พรหมนคร</t>
  </si>
  <si>
    <t>การวิจัยเพื่อพัฒนาดินสามโคก จังหวัดปทุมธานี สำหรับออกแบบเครื่องปั้นดินเผาที่ใช้ภายในสปา</t>
  </si>
  <si>
    <t>อ.ธราพงษ์ พัฒนศักดิ์ภิญโญ</t>
  </si>
  <si>
    <t>การควบคุมคุณภาพการตอกเสาเข็มโดยสูตรของ Danish ในมหาวิทยาลัย    ราชภัฏวไลยอลงกรณ์ ในพระบรมราชูปถัมภ์</t>
  </si>
  <si>
    <t xml:space="preserve">อ.ดร.วุฒิชัย วิถาทานัง  </t>
  </si>
  <si>
    <t>การพัฒนาเกณฑ์มาตรฐานผลิตภัณฑ์เครื่องจักสานเพื่อการส่งออก</t>
  </si>
  <si>
    <t>ผศ.ดร.วิวัฒน์ คลังวิจิตร</t>
  </si>
  <si>
    <t>การศึกษาประสิทธิผลการบริหารทรัพยากรมนุษย์ด้วยฐานสมรรถนะสถานประกอบการภาคกลางของประเทศ</t>
  </si>
  <si>
    <t>ผศ.ดร.ชาคริต  ศรีทอง</t>
  </si>
  <si>
    <t>การพัฒนาเครื่องอัดขึ้นรูปกระถางต้นไม้ที่ผลิตจากกากกาแฟแบบกึ่งอัตโนมัติ</t>
  </si>
  <si>
    <t>(วารสารวิศวกรรมศาสตร์ ราชมงคลธัญบุรี )</t>
  </si>
  <si>
    <t>แนวทางการอนุรักษ์ความหลากหลายของพืชสมุนไพรในตำบลบ่อเงิน อำเภอลาดหลุมแก้ว จังหวัดปทุมธานี. วารสารสิ่งแวดล้อมศึกษา-สสศท ปีที่ 6 ฉบับที่ 12 มกราคม – มิถุนายน 2558 หน้า 241 - 253</t>
  </si>
  <si>
    <t>ประสิทธิภาพของสาหร่ายเดนซ่า (Egeria denza Planch.) สำหรับการบำบัดน้ำเสียจากหอพักนักศึกษา มหาวิทยาลัยราชภัฎวไลยอลงกรณ์ ในพระบรมราชูปถัมภ์. วารสารวิจัยและพัฒนา วไลยอลงกรณ์ ในพระบรมราชูปถัมภ์ ปีที่ 10 ฉบับที่ 2 (เดือนพฤษภาคม- เดือนสิงหาคม พ.ศ. 2558) หน้า 23-32</t>
  </si>
  <si>
    <t>อ.ดร.พรรณวิภา แพงศรี และคณะ</t>
  </si>
  <si>
    <t>Defatted copra meal hydrolysate as a novel candidate for prebiotic.วารสารวิจัยและพัฒนา วไลยอลงกรณ์ ในพระบรมราชูปถัมภ์ ปีที่ 10 ฉบับที่ 3 (เดือนกันยายน- เดือนธันวาคม พ.ศ. 2558) หน้า 1-10</t>
  </si>
  <si>
    <t>การพัฒนาระบบสารสนเทศเพื่อการจัดการศูนย์ปฏิบัติธรรมวัดพยายัง. วารสารวิจัยและพัฒนา วไลยอลงกรณ์ ในพระบรมราชูปถัมภ์ ปีที่ 10 ฉบับที่ 3 (เดือนกันยายน- เดือนธันวาคม พ.ศ. 2558) หน้า 33-42</t>
  </si>
  <si>
    <t>การพัฒนาระบบการจัดการสารสนเทศสหกิจศึกษา มหาวิทยาลัยราชภัฎวไลยอลงกรณ์ ในพระบรมราชูปถัมภ์ วารสารวิจัยและพัฒนาวไลยอลงกรณ์ ในพระบรมราชูปถัมภ์ ปีที่ 10 ฉบับที่ 1 (เดือนมกราคม- เดือนเมษายน พ.ศ. 2558) หน้า 18-28</t>
  </si>
  <si>
    <t>อ.อมีนา ฉายสุวรรณ</t>
  </si>
  <si>
    <t>การพัฒนาสื่อการเรียนรู้ เรื่องการเขียนอัลกอริทึมแบบวนซ้ำ. วารสารวิจัยและพัฒนา วไลยอลงกรณ์ ในพระบรมราชูปถัมภ์ ปีที่ 10 ฉบับที่ 3 (เดือนกันยายน- เดือนธันวาคม พ.ศ. 2558) หน้า 43-52</t>
  </si>
  <si>
    <t>อ.ชุมพล จันทร์ฉลอง</t>
  </si>
  <si>
    <t>การพัฒนาสื่อมัลติมีเดีย เรื่องการสร้างภาพเคลื่อนไหว 2 มิติ แบบเฟรมต่อเฟรม. วารสารวิจัยและพัฒนา วไลยอลงกรณ์ ในพระบรมราชูปถัมภ์ ปีที่ 10 ฉบับที่ 3 (เดือนกันยายน- เดือนธันวาคม พ.ศ. 2558) หน้า 65-74</t>
  </si>
  <si>
    <t>การพัฒนาแอนิเมชัน เรื่อง ความรู้เกี่ยวกับการกระทำความผิดเกี่ยวกับคอมพิวเตอร์สำหรับเยาวชน วารสารวิจัยและพัฒนา วไลยอลงกรณ์ ในพระบรมราชูปถัมภ์ ปีที่ 10 ฉบับที่ 1 (เดือนมกราคม- เดือนเมษายน พ.ศ. 2558) หน้า 40-48</t>
  </si>
  <si>
    <t>การพัฒนาสื่อการสอนอิเล็กทรอนิกส์ วิชาการเขียนโปรแกรมภาษาคอมพิวเตอร์ เรื่อง การวนซ้ำ สำหรับนักศึกษามหาวิทยาลัยราชภัฎวไลยอลงกรณ์ ในพระบรมราชูปถัมภ์ วารสารวิจัยและพัฒนา วไลยอลงกรณ์ ในพระบรมราชูปถัมภ์ ปีที่ 10 ฉบับที่ 1 (เดือนมกราคม- เดือนเมษายน พ.ศ. 2558) หน้า 49-56</t>
  </si>
  <si>
    <t>การพัฒนาระบบการให้คะแนนและตัดสินกีฬามวยสากลสมัครเล่น วารสารวิจัยและพัฒนา วไลยอลงกรณ์ ในพระบรมราชูปถัมภ์ ปีที่ 10 ฉบับที่ 1 (เดือนมกราคม- เดือนเมษายน พ.ศ. 2558) หน้า 57-68</t>
  </si>
  <si>
    <t>การพัฒนาบทเรียนคอมพิวเตอร์ช่วยสอน เรื่อง การฝึกบุคคลท่ามือเปล่า วารสารวิจัยและพัฒนา วไลยอลงกรณ์ ในพระบรมราชูปถัมภ์ ปีที่ 10 ฉบับที่ 1 (เดือนมกราคม- เดือนเมษายน พ.ศ. 2558) หน้า 69-77</t>
  </si>
  <si>
    <t>การวิเคราะห์ปริมาณโลหะหนักและการปนเปื้อนของเชื้อจุลินทรีย์ในยาแผนโบราณ วารสารวิจัยและพัฒนา วไลยอลงกรณ์ ในพระบรมราชูปถัมภ์ ปีที่ 10 ฉบับที่ 1 (เดือนมกราคม- เดือนเมษายน พ.ศ. 2558) หน้า 78-95</t>
  </si>
  <si>
    <t>อ.ดาวรถา  วีระพันธ์</t>
  </si>
  <si>
    <t>การพัฒนาบทเรียนคอมพิวเตอร์ช่วยสอน เรื่องการผลิตสื่อสิ่งพิมพ์ด้วยโปรแกรม Publisher 2007 วารสารวิจัยและพัฒนา วไลยอลงกรณ์ ในพระบรมราชูปถัมภ์ ปีที่ 10 ฉบับที่ 1 (เดือนมกราคม- เดือนเมษายน พ.ศ. 2558) หน้า 96-106</t>
  </si>
  <si>
    <t>อ.เบญจางค์  อัฉริยะโพธา</t>
  </si>
  <si>
    <t>การพัฒนาไอศกรีมเพื่อสุขภาพของผู้สูงอายุ วารสารวิจัยและพัฒนา วไลยอลงกรณ์ ในพระบรมราชูปถัมภ์ ปีที่ 10 ฉบับที่ 1 (เดือนมกราคม- เดือนเมษายน พ.ศ. 2558) หน้า 107-122</t>
  </si>
  <si>
    <t>อ.อรรถพร  ธนูเพ็ชร</t>
  </si>
  <si>
    <t>การพัฒนาบทเรียนคอมพิวเตอร์ช่วยสอน วิชาเทคโนโลยีสารสนเทศเพื่อชีวิต เรื่องการใช้งานโปรแกรม Microsoft Excel 2010 วารสารวิจัยและพัฒนา วไลยอลงกรณ์ ในพระบรมราชูปถัมภ์ ปีที่ 10 ฉบับที่ 2 (เดือนพฤษภาคม- เดือนสิงหาคม พ.ศ. 2558) หน้า 55-65</t>
  </si>
  <si>
    <t>การพัฒนาโลชั่นจากสารสกัดหยาบชะเอมไทยที่มีฤทธิ์ต้านอนุมูลอิสระ. วารสารวิจัยและพัฒนา วไลยอลงกรณ์ ในพระบรมราชูปถัมภ์ ปีที่ 10 ฉบับที่ 2 (เดือนพฤษภาคม- เดือนสิงหาคม พ.ศ. 2558) หน้า 97-106</t>
  </si>
  <si>
    <t>อ.จิตติมา กอหรั่งกูล</t>
  </si>
  <si>
    <t>อาจารย์ ดาวรถา  วีระพันธ์และ สุภาพรรณ  วรศักดิ์</t>
  </si>
  <si>
    <t>การพัฒนาบทเรียนคอมพิวเตอร์ช่วยสอน เรื่อง อาหารหลัก 5 หมู่ สำหรับนักเรียนชั้นประถมศึกษาปีที่ 4 . วารสารวิจัยและพัฒนา วไลยอลงกรณ์ ในพระบรมราชูปถัมภ์ ปีที่ 10 ฉบับที่ 3 (เดือนกันยายน- เดือนธันวาคม พ.ศ. 2558) หน้า 119-128</t>
  </si>
  <si>
    <t>ผศ.อารีย์ สงวนชื่อ</t>
  </si>
  <si>
    <t>กระบวนการมีส่วนร่วมในกิจกรรมบริหารกายรำไม้พลองป้าบุญมีของชุมชนในเขตองค์การบริหารส่วนตำบลสวนพริกไทย อ.เมือง จ.ปทุมธานี. วารสารวิจัยและพัฒนาระบบสุขภาพ ปีที่ 8 ฉบับที่ 3 พฤศจิกายน 2558 – กุมภาพันธ์ 2559 หน้า165-170</t>
  </si>
  <si>
    <t>Google for Education กับการปฏิรูปการศึกษาไทย. วารสารพัฒนาเทคนิคศึกษา สำนักพัฒนาเทคนิคศึกษา มหาวิทยาลัยเทคโนโลยีพระจอมเกล้าพระนครเหนือ ปีที่ 28 ฉบับที่ 96 ตุลาคม – ธันวาคม 2558 หน้า 14-20</t>
  </si>
  <si>
    <t>การบริหารจัดการบริการสาธารณะขององค์กรปกครองส่วนท้องถิ่นเพื่อเตรียมความพร้อมเข้าสู่ประชาคมเศรษฐกิจอาเซียน วารสารวิจัยและพัฒนาวไลยอลงกรณ์ปีที่ 10 ฉบับที่ 1 ม.ค.-เม.ย. 58</t>
  </si>
  <si>
    <t>การนำนโยบายการส่งเสริมการใช้เซลล์แสงอาทิตย์ไปปฏิบัติในเขตภาคกลาง สวน.วารสารบัณฑิตศึกษา มหาวิทยาลัยราชภัฏสวนสุนันทา ฉบับที่ 8 ปีที่ 1 (ม.ค.-เม.ย.58)</t>
  </si>
  <si>
    <t>วัฒนธรรมไทยกับการมีส่วนร่วมในการปกครองท้องถิ่นในจังหวัดปริมณฑลของกรุงเทพมหานคร (วารสารวิจัยและพัฒนา วไลยอลงกรณ์ ปีที่ 10 ฉบับที่ 1 ม.ค.- เม.ย. 58)</t>
  </si>
  <si>
    <t>การนำนโยบายการพัฒนาชุมชนตามแนวทางปรัชญาเศรษฐกิจพอเพียงไปปฏิบัติของเทศบาลในภาคตะวันออก (วารสารการเมืองการปกครอง ม.มหาสารคาม  ปีที่ 5 ฉบับที่ 1 ก.ย. 57-ก.พ. 58)</t>
  </si>
  <si>
    <t>ประสิทธิผลของนโยบายการป้องกันและปราบปรามยาเสพติดตามแนวชายแดนแม่น้ำโขง (วารสาร บัณฑิตศึกษา มรภ.สวนสุนันทา ปีที่ 8 ฉบับที่ 1 ม.ค.-มิ.ย. 58)</t>
  </si>
  <si>
    <t>อ.อมรรักษ์ สวนชูผล</t>
  </si>
  <si>
    <t>ปัจจัยเชิงสาเหตุที่มีอิทธิพลต่อการสร้างความได้เปรียบในการแข่งขันของธุรกิจ โลจิสติกส์ภาคบริการ เขตภาคกลาง</t>
  </si>
  <si>
    <t>อ.ดร.พรนภา  เตียสุธิกุล</t>
  </si>
  <si>
    <t>อ.ดร.ชมัยภรณ์  ถนอมศรีเดชชัย</t>
  </si>
  <si>
    <t>การพัฒนาทุนทางสังคมเพื่อสร้างชุมชนเข้มแข็ง (วารสารวิจัยและพัฒนา วไลย  อลงกรณ์ ในพระบรมราชูปถัมภ์ ปีที่ 10 ฉบับที่ 3  ก.ย. –ธ.ค. 58)</t>
  </si>
  <si>
    <t>ปัจจัยที่ส่งผลต่อประสิทธิภาพการสรรหาบุคลากรของธุรกิจโลจิสติกส์ภาคบริการเขตภาคกลางในประเทศไทย (วารสารวิจัยและพัฒนา วไลยอลงกรณ์ ในพระบรมราชูปถัมภ์ สาขามนุษยศาสตร์และสังคมศาสตร์ ปีที่ 10 ฉบับที่ 3 (กันยายน - ธันวาคม 2558))</t>
  </si>
  <si>
    <t>อ.สิรินดา  คลี่สุนทร</t>
  </si>
  <si>
    <t>การพัฒนาการท่องเที่ยวเชิงนิเวศในชุมชนศาลาแดงเหนือ จังหวัดปทุมธานี (วารสารสิ่งแวดล้อมศึกษา - สสศท มกราคม -มิถุนายน 2558)</t>
  </si>
  <si>
    <t>แนวทางการจัดการ่องเที่ยงเชิงนิเวศในชุมชนศาลาแดงเหนือ จังหวัดปทุมธานี (วารสารสิ่งแวดล้อมศึกษา - สสศท กรกฎาคม -ธันวาคม 2558)</t>
  </si>
  <si>
    <t>อ.ดร.สุพจน์  ทรายแก้ว</t>
  </si>
  <si>
    <t>แนวทางการบริหารจัดการวิจัยความหลากหลายทางชีวภาพ มหาวิทยาลัยราชภัฏวไลยอลงกรณ์ ในพระบรมราชูปถัมภ์ (วารสารวิจัยและพัฒนา วไลยอลงกรณ์ ในพระบรมราชูปถัมภ์ สาขามนุษยศาสตร์และสังคมศาสตร์ ปีที่ 10 ฉบับที่ 3 (กันยายน - ธันวาคม 2558)</t>
  </si>
  <si>
    <t>ผลการประเมินความต้องการจำเป็นเพื่อเสริมสร้างความสามารถในการทำวิจัยในชั้นเรียนของนักศึกษาฝึกประสบการณ์วิชาชีพครู</t>
  </si>
  <si>
    <t>ผศ.ดร.สุวรรณา  จุ้ยทอง</t>
  </si>
  <si>
    <t>การศึกษาวิธีสอน  เทคนิคการและพัฒนารูปแบบการสอนคณิตศาสตร์ ของครูผู้สอนคณิตศาสตร์ ระดับการศึกษาขั้นพื้นฐานในจังหวัดปทุมธานี  จังหวัดพระนครศรีอยุธยา  จังหวัดสระแก้ว  และจังหวัดอ่างทอง</t>
  </si>
  <si>
    <t>ผศ.ดร.ฐิติพร  พิชญกุล</t>
  </si>
  <si>
    <t>การจัดการเรียนรู้โดยใช้แผนที่ทางความคิดเพื่อพัฒนาความสามารถในการถ่ายโยงการเรียนรู้ของนักศึกษาครุศาสตร์บัณฑิต หลักสูตรวิชาการศึกษาปฐมวัย</t>
  </si>
  <si>
    <t>การประยุกต์กระบวนทัศน์การตัดสินใจบนฐานของการแบ่งปันความรู้เพื่อเป็นกระบวนการปฏิบัติแบบมีส่วนร่วมระหว่างผู้บริหารสถานศึกษาและผู้ปกครองในการบริหารจัดการศึกษาท้องถิ่น</t>
  </si>
  <si>
    <t>รูปแบบความสัมพันธ์เชิงโครงสร้างของคุณลักษณะผู้นำที่ส่งผลต่อภาวะผู้นำแบบใฝ่บริหารของผู้นำนักศึกษามหาวิทยาลัยราชภัฏ</t>
  </si>
  <si>
    <t>ปัจจัยที่ส่งผลต่อการดำเนินงานประกันคุณภาพการศึกษาภายในสถานศึกษา สังกัดองค์กรปกครองส่วนท้องถิ่น</t>
  </si>
  <si>
    <t>การพัฒนารูปแบบการประกันคุณภาพภายในสถานศึกษาขั้นพื้นฐานสังกัดสำนักงานคณะกรรมการส่งเสริมการศึกษาเอกชน</t>
  </si>
  <si>
    <t>รูปแบบความสัมพันธ์เชิงสาเหตุของปัจจัยที่ส่งผลต่อคุณลักษณะภาวะผู้นำเชิงกลยุทธ์ของผู้บริหารสำนักงานเขตพื้นที่การศึกษาประถมศึกษา</t>
  </si>
  <si>
    <t>การพัฒนาทักษะกระบวนการทางวิทยาศาสตร์ขั้นพื้นฐาน เรื่อง แรงและความดันของผู้เรียนชั้นประถมศึกษาปีที่ 5 โดยใช้วัฏจักรการเรียนรู้ 7 ขั้น ผสมผสานกับผังมโนทัศน์รูปตัววี</t>
  </si>
  <si>
    <t>การพัฒนาบทเรียนคอมพิวเตอร์ช่วยสอน เรื่อง การสร้างเว็บเพจสำหรับนักเรียนชั้นประถมศึกษาปีที่ 6</t>
  </si>
  <si>
    <t>ความสัมพันธ์ระหว่างการใช้อำนาจของผู้บริหารสถานศึกษากับประสิทธิผลของสถานศึกษา สังกัดสำนักงานเขตพื้นที่การศึกษาประถมศึกษาปทุมธานี เขต 2</t>
  </si>
  <si>
    <t>ผลของชุดกิจกรรมการละเล่นพื้นบ้านที่มีต่อผลสัมฤทธิ์ทางการเรียนพละศึกษา</t>
  </si>
  <si>
    <t>การพัฒนาชุดกิจกรรมพัฒนาผู้เรียนโดยบูรณาการกับหลักปรัชญาเศรษฐกิจพอเพียงเพื่อเสริมสร้างทักษะการปรับตัวในการดำรงชีวิตของนักเรียนชั้นมัธยมศึกษาปีที่ 4</t>
  </si>
  <si>
    <t>การศึกษาการใช้ภาษาถิ่นของเด็กปฐมวัย ที่ได้รับการจัดกิจกรรมเพลงพื้นเมือง “อีสานลำเต้ย”</t>
  </si>
  <si>
    <t>ความสัมพันธ์ระหว่างพฤติกรรมความเป็นผู้นำทางวิชาการของผู้บริการกับการจัดกิจกรรมพัฒนาผู้เรียนในสถานศึกษา สังกัดสำนักงานเขตพื้นที่การศึกษาประถมศึกษา จังหวัดพระนครศรีอยุธยา</t>
  </si>
  <si>
    <t>สุภัชฌาน์ ศรีเอี่ยม</t>
  </si>
  <si>
    <t>อัตลักษณ์นักศึกษาในยุคปริญญาล้นประเทศ</t>
  </si>
  <si>
    <t>ความสำเร็จในการบริหารงานของนายกองค์การบริหารส่วนตำบลที่เป็นสตรี</t>
  </si>
  <si>
    <t>การวิจัยและพัฒนาการจัดกระบวนการเรียนรู้แบบบูรณาการโดยใช้แหล่งเรียนรู้ในท้องถิ่นเป็นฐาน สำหรับสถานศึกษาในชุมชนรอบหนองหาร จังหวัดสกลนคร</t>
  </si>
  <si>
    <t>การพัฒนารูปแบบการเรียนการสอนคณิตศาสตร์ ตามแนวคิดการเรียนรู้โดยใช้ปัญหาเป็นฐานผสมผสานกลวิธีอภิปัญญาสำหรับนักเรียนระดับมัธยมศึกษาตอนต้น</t>
  </si>
  <si>
    <t>การพัฒนารูปการพัฒนารูปแบบเครือข่ายครูนักวิจัยปฏิบัติการในชั้นเรียนโดยใช้การเรียนรู้แบบผสมผสมและการส่งเสริมการรับรู้ความสามารถของตนสำหรับครูระดับมัธยมศึกษา สังกัดสำนักงานเขตพื้นที่การศึกษามัธยมศึกษาเขต 3</t>
  </si>
  <si>
    <t>คณะมนุษยศาสตร์สังคมศาสตร์</t>
  </si>
  <si>
    <t>อ.ดร.ภิศักดิ์ กัลยาณมิตร</t>
  </si>
  <si>
    <t>การพัฒนาอย่างยั่งยืนของประเทศกลุ่มนอร์ดิกวารสารรัฐศาสตร์และนิติศาสตร์ มหาวิทยาลัยกาฬสินธุ์ ปีที่ 4 ฉบับที่ 2 ก.ค.–ธ.ค. 58</t>
  </si>
  <si>
    <t>อ.กัมลาศ เยาวะนิจ</t>
  </si>
  <si>
    <t>อ.ดร.กัมลาศ เยาวะนิจ</t>
  </si>
  <si>
    <t>อ.ดร.ปิยะ กล้าประเสริฐ</t>
  </si>
  <si>
    <t>ณัฏฐา ผดุงศิลป์, ธัญญา เตชะศีลพิทักษ์, เฌอมาลย์ วงศ์ชาวจันท์, และณัฐพงค์ จันจุฬา</t>
  </si>
  <si>
    <t>การชักนำทำให้เกิดการกลายในต้นแพงพวยโดยการฉายรังสีแกมมาแบบเฉียบพลัน Thai Journal of Science and Technology. 2558. 4(1) มกราคม-เมษายน: หน้า 95-103</t>
  </si>
  <si>
    <t>วิษณุ เมืองทิพย์, พนิดา บุญฤทธิ์ธงไชย, คำทอง มหวงศ์วิริยะ, ผ่องเพ็ญ จิตอารีย์รัตน์, มัณฑนา บัวหนอง, อภิรดี อุทัยรัตนกิจ และเฉลิมชัย วงษ์อารี</t>
  </si>
  <si>
    <t>การใช้สารสกัดจากธรรมชาติป้องกันโรคในระหว่างการพัฒนาผลฟักข้าวเพื่อป้องกันโรคหลังการเก็บเกี่ยว วารสารวิทยาศาสตร์เกษตร. 2558. 46: 3/1 (พิเศษ): 319-322.</t>
  </si>
  <si>
    <t>คำทอง มหวงศ์วิริยะ, วิษณุ เมืองทิพย์ และเฉลิมชัย วงษ์อารี</t>
  </si>
  <si>
    <t>สถาบันวิจัยและพัฒนา</t>
  </si>
  <si>
    <t>แนวทางการบริหารจัดการการวิจัยความหลากหลายทางชีวภาพ มหาวิทยาลัยราชภัฏวไลยอลงกรณ์ ในพระบรมราชูปถัมภ์</t>
  </si>
  <si>
    <t>4) บทความวิจัยหรือบทความวิชาการฉบับสมบูรณ์ที่ตีพิมพ์ในวารสารวิชาการระดับนานาชาติที่ไม่อยู่ในฐานข้อมูล ตามประกาศ ก.พ.อ. หรือระเบียบคณะกรรมการการอุดมศึกษาว่าด้วย หลักเกณฑ์การพิจารณาวารสารทางวิชาการสำหรับการเผยแพร่ผลงานทางวิชาการ พ.ศ. 2556 แต่สถาบันนำเสนอสภาสถาบันอนุมัติและจัดทำเป็นประกาศให้ทราบเป็นการทั่วไป และแจ้งให้ ก.พ.อ./กกอ.ทราบภายใน 30 วันนับแต่วันที่ออกประกาศ (ซึ่งไม่อยู่ใน Beall’s list) หรือตีพิมพ์ในวารสารวิชาการที่ปรากฏในฐานข้อมูล TCI กลุ่มที่ 1</t>
  </si>
  <si>
    <t>ผศ.ดร. นฤมล ธนานันต์ และคณะ</t>
  </si>
  <si>
    <t>การจำแนกพันธุ์และการวิเคราะห์ความสัมพันธ์ทางพันธุกรรมของกล้วยไม้สกุลหวายกลุ่มเอื้องสายโดยใช้ลำดับนิวคลีโอไทด์ของยีน matK และ rpoC1. วารสารวิทยาศาสตร์และเทคโนโลยี  ปีที่ 23 ฉบับที่ 1 มกราคม-มีนาคม 2558 หน้า 1-10</t>
  </si>
  <si>
    <t>ความสัมพันธ์ทางพันธุกรรมของกล้วยไม้สกุลแวนด้าหมู่เข็มด้วยแฮตอาร์เอพีดีและไอเอสอาร์. วารสารวิทยาศาสตร์และเทคโนโลยี  ปีที่ 23 ฉบับที่ 3 กรกฎาคม-กันยายน 2558 หน้า 475-484</t>
  </si>
  <si>
    <t xml:space="preserve">การศึกษาความหลากหลายของพรรณพืชสมุนไพรและภูมิปัญญาท้องถิ่นโดยใช้กระบวนการมีส่วนร่วมของชุมชนบ้านดงบัง ตำบลดงขี้เหล็ก อำเภอเมือง จังหวัดปราจีนบุรี. วารสารวิจัยสหวิทยาการไทย ปีที่ 10 ฉบับที่ 3 พฤศจิกายน-ธันวาคม 2558 หน้า 1-8 </t>
  </si>
  <si>
    <t>แนวทางการพัฒนาศูนย์สิ่งแวดล้อมศึกษาด้านการอนุรักษ์ภูมิปัญญาผึ้งสายพันธุ์จันโรง ตำบลปัถวี อำเภอมะขาม จังหวัดจันทบุรี. วารสารหน่วยวิจัยวิทยาศาสตร์ เทคโนโลยี และสิ่งแวดล้อมเพื่อการเรียนรู้ ปีที่ 6 ฉบับที่ 1 (2558) หน้า32-45</t>
  </si>
  <si>
    <t>วิทยาลัยนวัตกรรม</t>
  </si>
  <si>
    <t>อ.พลเอก ดร.เกษมชาติ  นเรศเนีย์</t>
  </si>
  <si>
    <t>กลยุทธ์การบริหารของกำนันและผู้ใหญ่บ้านเพื่อส่งเสริมความเข้มแข็งของชุมชนที่ยั่งยืนในเขตจังหวัดภาคตะวันออกเฉียงเหนือตอนล่าง(วารสารบัณฑิตศึกษา วไลยอลงกรณ์ ปีที่ 9  ฉบับที่ 2 เดือน พ.ค – ส.ค. 58)</t>
  </si>
  <si>
    <t>สัมฤทธิผลการนำนโยบายการพัฒนานักศึกษาหลักสูตรรัฐประศาสนศาสตร์ไปปฏิบัติ ของมหาวิทยาลัยในกลุ่มจังหวัดภาคกลางตอนล่าง (วารสารบัณฑิตศึกษา มหาวิทยาลัยราชภัฏวไลยอลงกรณ์ ในพระบรมราชูปถัมภ์ ปีที่ 9 ฉบับที่ 2 พ.ค. – ส.ค. 58)</t>
  </si>
  <si>
    <t>ผศ.ดร.สอาด  บรรเจิดฤทธิ์</t>
  </si>
  <si>
    <t>รูปแบบการบริหารจัดการโรงเรียนพระปริยัติธรรม แผนกบาลี ในเขตปกครองคณะสงฆ์ภาค 5 มจร. สังคมศาสตร์ปริทรรศน์ ปีที่ 4 ฉบับที่ 2 พ.ค. – ส.ค. 58</t>
  </si>
  <si>
    <t>การบูรณาการหลักพุทธธรรมในการสร้างความสุขของนักเรียนโรงเรียนพระปริยัติธรรม แผนกสามัญศึกษา กลุ่มที่ 4(วารสาร มจร. สังคมศาสตร์ปริทรรศน์ ปีที่ 4 ฉบับที่ 2 พ.ค. – ส.ค. 58)</t>
  </si>
  <si>
    <t>ประสิทธิผลการบริหารจัดการ การลดอุบัติเหตุทางถนนในเขตกรุงเทพมหานคร</t>
  </si>
  <si>
    <t>(วารสารธรรมศาสตร์ ปีที่ 34 ฉบับที่ 2 พ.ค.- ส.ค. 58)</t>
  </si>
  <si>
    <t>สัมฤทธิผลการนำนโยบายการพัฒนานักศึกษาหลักสูตรรัฐประศาสนศาสตร์ไปปฏิบัติ ของมหาวิทยาลัยในกลุ่มจังหวัดภาคกลางตอนล่าง(วารสารบัณฑิตศึกษา มหาวิทยาลัยราชภัฏวไลยอลงกรณ์ ในพระบรมราชูปถัมภ์ ปีที่ 9 ฉบับที่ 2 พ.ค. – ส.ค. 58)</t>
  </si>
  <si>
    <t>อ.ดร.อมรรักษ์  สวนชูผล</t>
  </si>
  <si>
    <t xml:space="preserve">คุณลักษณะการเรียนรู้ด้วยการนำตนเองของนักศึกษามหาวิทยาลัยราชภัฏวไลยอลงกรณ์ ในพระบรมราชูปถัมภ์ (วารสารบัณฑิตศึกษา ปีที่ 9 ฉบับที่ 2 พฤษภาคม - สิงหาคม 2558) </t>
  </si>
  <si>
    <t>แนวคิดการเรียนรู้ด้วยการนาตนเองกับการจัดการศึกษา (วารสารบัณฑิตศึกษา มหาวิทยาลัยราชภัฏวไลยอลงกรณ์ ในพระบรมราชูปถัมภ์ ปีที่ 9 ฉบับที่ 1 มกราคม – เมษายน 2558)</t>
  </si>
  <si>
    <t>หยุดวัฏจักรแห่งความชั่วร้ายของการเมืองไทย วารสารบัณฑิตวิทยาลัย มหาวิทยาลัยราชภัฏวไลยอลงกรณ์ ในพระบรมราชูปถัมภ์ ปี 9 ฉบับ 1 มกราคม –เมษายน 58</t>
  </si>
  <si>
    <t>รศ.ดร.ฉันธะ  จันทะเสนา</t>
  </si>
  <si>
    <t>การวิเคราะห์อิทธิพลของพฤติกรรมการเป็นสมาชิกที่ดีขององค์การ :กรณีศึกษาพนักงงานมหาวิทยาลัยราชภัฏ.วารสารบริหารธุรกิจ มหาวิทยาลัยธรรมศาสตร์) 2558</t>
  </si>
  <si>
    <t>รูปแบบการบริหารสถานศึกษาขีดสมรรถนะสูง สังกัดองค์กรปกครองส่วนท้องถิ่น</t>
  </si>
  <si>
    <t>การพัฒนาผลสัมฤทธิ์ทางการเรียนเรื่องพุทธประวัติ สำหรับนักเรียนชั้นประถมศึกษาปีที่ 3 โดยใช้ชุดสื่อประสม</t>
  </si>
  <si>
    <t>การเสริมสร้างทักษะเมตาคอกนิชันด้วยเทคนิคการสะท้อนความคิดผ่านเครือข่ายสังคมออนไลน์ของนักศึกษาหลักสูตรครุศาสตรบัณฑิตในรายวิชานวัตกรรมและเทคโนโลยีสารสนเทศทางการศึกษา</t>
  </si>
  <si>
    <t>การสร้างความเข้มแข็งของทุนมนุษย์ในการจัดการท่องเที่ยวภาคตะวันออกเฉียงเหนือตอนกลางสู่การเป็นแหล่งท่องเที่ยวประชาคมเศรษฐกิจอาเซียน</t>
  </si>
  <si>
    <t>45. การวิเคราะห์องค์ประกอบของคุณลักษณะอันพึงประสงค์ในการเรียนวิชาเน้นการปฏิบัติของนักเรียนชั้นมัธยมศึกษาตอนต้น</t>
  </si>
  <si>
    <t>46. การพัฒนารูปแบบการสอนอ่านภาษาอังกฤษเพื่อความเข้าใจสำหรับนักเรียนระดับมัธยมศึกษาตอนต้น</t>
  </si>
  <si>
    <t>บทบาทขององค์กรปกครองส่วนท้องถิ่นในจังหวัดปทุมธานีกับการจัดการปัญหาอุทกภัย วารสารบัณฑิตศึกษา มหาวิทยาลัยราชภัฏวไลยอลงกรณ์ ในพระบรมราชูปถัมภ์  ปีที่ 9 ฉบับที่ 3 (ก.ย.-ธ.ค. 58)</t>
  </si>
  <si>
    <t>5) บทความวิจัยหรือบทความวิชาการฉบับสมบูรณ์ที่ตีพิมพ์ในวารสารวิชาการระดับนานาชาติที่ปรากฏในฐานข้อมูลระดับนานาชาติตามประกาศ ก.พ.อ. หรือระเบียบคณะกรรมการการอุดมศึกษา ว่าด้วยหลักเกณฑ์การพิจารณาวารสารทางวิชาการสำหรับการเผยแพร่ผลงานทางวิชาการ พ.ศ.2556</t>
  </si>
  <si>
    <t>รศ.ดร.กรินทร์ กาญทนานนท์</t>
  </si>
  <si>
    <t>The Regulation of Steam Pressure in a Drum Boiler by Neural Network and System Identification Technique วารสารวิชาการนานาชาติ Lecture Note in Computer Scienc หน้า 425-434,2015</t>
  </si>
  <si>
    <t>The Data Mining for Industrial System Indentication: A Turning process วารสาร Lecture Note in Electrical Engineering ของสำนักพิมพ์ Springer ประเทศสาธารณรัฐเยอรมัน ฉบับที่ 339 ปี 2015 หน้าที่ 583-590</t>
  </si>
  <si>
    <t xml:space="preserve">Analysis and Prediction of Surface Roughness in A CNC Turning Process using Taguchi Desing and Artificial Neural Networks ได้รับคัดเลือกให้ตีพิมพืลงในวารสาร ICIC Express Letters ของสำนักพิมพ์ ICIC International ประเทศญี่ปุ่น ปีที่ 9 ฉบับที่ 4 เดือนเมษายน 2015 หน้า 1121/1126 </t>
  </si>
  <si>
    <t>An altering distance function in fuzzy metric ﬁxed point theorems. Fixed Point Theory and Applications (2015) 2015:69 page 1-19</t>
  </si>
  <si>
    <t>Bio-Insecticidal activity of alpinia galangal (L.) on larval development of spodoptera litura (Lepidoptera:Noctuidae). Communications in agricultural and applied biological sciences, Ghent University, 80/2, 2015. Page 179-186</t>
  </si>
  <si>
    <t>Toxicity of the seeds of phaseolus lathyroides (Leguminosae) against spodoptera litura (Lepidoptera:Noctuidae). Communications in agricultural and applied biological sciences, Ghent University, 80/2, 2015. Page 193-198</t>
  </si>
  <si>
    <t>Effects of gamma irradiation on the physical and sensory quality and inactivation of listeria monocytogenes in blue swimming crab meat (Portunas Pelagicus) วารสารวิชาการนานาชาติ Radiation Physics and Chemistry</t>
  </si>
  <si>
    <t>ป่าชายเลนพังราด: ป่าต้นแบบรัฐเอกชน ร่วมสร้าง บทที่ 4 ป่าชายเลนพังราดทีเกื้อกูลสรรพชีวิตชายฝั่งภายใต้โครงการวิจัยเรื่อง “การประเมินสถานภาพความอุดมสมบูรณ์ของพื้นที่ป่าชายเลนและกลไกทางสังคมเพื่อพัฒนาเป็นศูนย์เรียนรู้ระบบนิเวศป่าชายเลน” . สนับสนุนโดย บริษัท ปตท. จำกัด (มหาชน) 2558</t>
  </si>
  <si>
    <t>ป่าเล็กในเขตอุตสาหกรรมใหญ่: ป่าชายเลนของIRPC. บทที่ 4 สรรพชีวิตในป่าเล็ก IRPC ภายใต้โครงการวิจัยเรื่อง “การประเมินสถานภาพความอุดมสมบูรณ์ของพื้นที่ป่าชายเลนและกลไกทางสังคมเพื่อพัฒนาเป็นศูนย์เรียนรู้ระบบนิเวศป่าชายเลน” สนับสนุนโดย บริษัท ปตท. จำกัด (มหาชน) 2558</t>
  </si>
  <si>
    <t>6) ตำราหรือหนังสือหรืองานแปลที่ได้รับการประเมินผ่านเกณฑ์การขอตำแหน่งทางวิชาการแล้ว</t>
  </si>
  <si>
    <t>คณะวิทยาศาสตร์</t>
  </si>
  <si>
    <t>ตำรา เรื่อง เคมีพื้นฐาน</t>
  </si>
  <si>
    <t>งานวิจัยเรื่อง “การศึกษาตัวแบบสภาพลเมืองจังหวัดปทุมธานีสู่ความเข้มแข็งของประชาธิปไตยไทย” สถาบันพระปกเกล้า 1 ก.พ. 58 – 30 ธ.ค. 58</t>
  </si>
  <si>
    <t>อ.จุเลียบ ชูเสือหึง</t>
  </si>
  <si>
    <t>โครงการศึกษาและพัฒนากฏหมายรองรับธุรกิจโฮมสเตย์และธุรกิจลองสเตย์เพื่อให้เกิดระบบคุณภาพและมาตรฐานกรมการท่องเที่ยว วันที่ 28 ม.ค. 58 – 25 ก.ย. 58</t>
  </si>
  <si>
    <t>คุณภาพงานสร้างสรรค์</t>
  </si>
  <si>
    <t>1) งานสร้างสรรค์ที่มีการเผยแพร่สู่สาธารณะในลักษณะใดลักษณะหนึ่ง หรือผ่านสื่ออิเล็กทรอนิกส์ Online (0.20) –ไม่มี-</t>
  </si>
  <si>
    <t>2) งานสร้างสรรค์ที่ได้รับการเผยแพร่ในระดับสถาบัน (0.40)</t>
  </si>
  <si>
    <t>ผลงานภาพจิตรกรรม “แม่น้ำสองสี 2558”</t>
  </si>
  <si>
    <t>ผลงานภาพจิตรกรรม “เสาเฉลียง 2558”</t>
  </si>
  <si>
    <t>ผลงานประติมากรรมเซรามิกส์ “My Dog 1”</t>
  </si>
  <si>
    <t>ผลงานประติมากรรมเซรามิกส์ “My Dog 2”</t>
  </si>
  <si>
    <t>การประกวดภาพถ่ายอาเซียนในหัวข้อ “ท่องเที่ยวในอาเซียน”</t>
  </si>
  <si>
    <t>การปฏิบัติการถ่ายภาพเพื่อส่งเสริม “การท่องเที่ยวในอาเซียน”</t>
  </si>
  <si>
    <t>อ. ออมสิรี ปานดำรงค์</t>
  </si>
  <si>
    <t>ภาพ “สัมพันธภาพแห่งจิต 1”หมึกจีนบนกระดาษสา ปี 2558 นิทรรศการศิลปกรรมร่วมสมัยกลุ่มอยุธยา ครั้งที่ 9 ปี 2558</t>
  </si>
  <si>
    <t>3) งานสร้างสรรค์ที่ได้รับการเผยแพร่ในระดับชาติ (0.60)</t>
  </si>
  <si>
    <t>อ.ชยานันท์ อาวะโต</t>
  </si>
  <si>
    <t>ภาพ “สมเด็จพระเทพ ฯ ผู้ทรงอนุรักษ์ทรัพยากรและธรรมชาติ” สีน้ำมันบนผ้าใบ ปี 2558 นิทรรศการพระสาทิศลักษณ์เฉลิมพระเกียรติสมเด็จพระเทพรัตนราชสุดาฯ สยามบรมราชกุมารี พุทธศักราช 2558</t>
  </si>
  <si>
    <t>4) งานสร้างสรรค์ที่ได้รับการเผยแพร่ในระดับความร่วมมือระหว่างประเทศ (0.80) -ไม่มี-</t>
  </si>
  <si>
    <t>5) งานสร้างสรรค์ที่ได้รับการเผยแพร่ในระดับภูมิภาคอาเซียน/นานาชาติ (1.00)</t>
  </si>
  <si>
    <t>ผลงานชุดถ้วยชา “Happy Tenth Anniversary Chawan 2015”</t>
  </si>
  <si>
    <t>ผลงานชุดถ้วยชา “Inspiration 2015-1”</t>
  </si>
  <si>
    <t>อ.ถิรนันท์ ทิวาราตรีวิทย์</t>
  </si>
  <si>
    <t>Positive Influence of Green Supply Chain Operation on Thai Electronic Firms’ Financial performance แหล่งที่เผยแพร่  Procedia Engineering Volume 118,2015,pages 683 – 690</t>
  </si>
  <si>
    <t>ภาพ “สาวอาบน้ำ 1” สีน้ำมันบนผ้าใบปี 2558 หอศิลป์อันดามันสมาคมศิลปินทัศนศิลป์นานาชาติแห่งประเทศไทย ครั้งที่ 8 วันที่ 2 – 27 ต.ค. 58</t>
  </si>
  <si>
    <t>ภาพ “สาวอาบน้ำ 2” สีน้ำมันบนผ้าใบ ปี 2558 หอศิลป์อันดามัน สมาคมศิลปินทัศนศิลป์นานาชาติแห่งประเทศไทย ครั้งที่ 8 วันที่ 2 – 27 ต.ค. 58</t>
  </si>
  <si>
    <t>บันทึกมุมมองจากวัดมเหยงณ์อยุธายา โครงการอบรมเชิงปฏิบัติการสร้างสรรค์ศิลปกรรมนานาชาติ ครั้งที่ 9 มหาวิทยาลัยเทคโนโลยีราชมงคลธัญบุรี วันที่ 2 ก.ย. 58</t>
  </si>
  <si>
    <t>ผศ.นเรศ ยะมะหาร</t>
  </si>
  <si>
    <t>ภาพ “ทิวทัศน์สีเหลือง”สีอะครีลิกบนผ้าใบ ปี 2558 โครงการอบรมเชิงปฏิบัติการสร้างสรรค์ศิลปกรรมนานาชาติ ครั้งที่ 9 มหาวิทยาลัยเทคโนโลยีราชมงคลธัญบุรี วันที่ 2 ก.ย. 58</t>
  </si>
  <si>
    <t>อ.เดือนฉายผู้ชนะ  ภู่ประเสริฐ</t>
  </si>
  <si>
    <t>ภาพ “สมุดบันทึกสองสี” สีอะครีลิกบนผ้าใบ 2558 โครงการอบรมเชิงปฏิบัติการสร้างสรรค์ศิลปกรรมนานาชาติ ครั้งที่ 9 มหาวิทยาลัยเทคโนโลยีราชมงคลธัญบุรี วันที่ 2 ก.ย. 58</t>
  </si>
  <si>
    <t>อ.เดือนฉายผู้ชนะ ภู่ประเสริฐ</t>
  </si>
  <si>
    <t>“พลังแห่งธรรมชาติพลังแห่งชีวิต หมายเลข 1”ได้รับรางวัลที่ 2 การประกวดศิลปกรรมกรุงไทย ครั้งที่ 2 ประจำปี 2558 หอศิลป์กรุงไทย เมื่อวันที่ 21 พ.ย. 58</t>
  </si>
  <si>
    <t>ศิรพงศ์ มาสำราญ
รศ.ดร.ศรีน้อย ชุ่มคำ 
ผศ.ดร.กรรณิกา อัมพุช</t>
  </si>
  <si>
    <t>การออกแบบผลิตภัณฑ์กระจูดเพื่อเป็นนวัตกรรมเครื่องใช้ในโรงพยาบาล (Design Bulrush Reed Product for Device Innovation in Hospitals) การประชุมวิชาการระดับชาติด้านเทคโนโลยีอุตสาหกรรมและวิศวกรรม ครั้งที่ 1 วันที่ 19 ตุลาคม 2558</t>
  </si>
  <si>
    <t>รศ.จิราภรณ์ เบญจประกายรัตน์ 
ผศ.สัญลักษณ์ กิ่งทอง 
รศ.ดร.วัชระ เพิ่มชาติ</t>
  </si>
  <si>
    <t>การออกแบบและพัฒนาอุปกรณ์ย้ายเมล็ดลงถาดเพาะกล้า (Design and Development of Drilling Device for Seedling Tray) การประชุมวิชาการระดับชาติด้านเทคโนโลยีอุตสาหกรรมและวิศวกรรม ครั้งที่ 1 วันที่ 19 ตุลาคม 2558</t>
  </si>
  <si>
    <t>ผศ.ดร.ชาคริต ศรีทอง
อ.อรวิกา ศรีทอง</t>
  </si>
  <si>
    <t>การลดเวลาในกระบวนการผลิตเครื่องแช่เย็น รุ่น P (การประชุมวิชาการระดับชาติ มหาวิทยาลัยเทคโนโลยีราชมงคลล้านนา เชียงราย ประจำปีการศึกษา 2558 วันที่ 23-24 มีนาคม 2558 ณ โรงแรมเวียงอินทร์ จังหวัดเชียงราย)</t>
  </si>
  <si>
    <t>รศ.จิราภรณ์ เบญจประกายรัตน์
รศ.ดร.วัชระ เพิ่มชาติ</t>
  </si>
  <si>
    <t>อ.ดร.พิทักษ์ นิลนพคุณ
อ.ดร.ศักดิ์ สุวรรณฉาย
จันทิพมาศ ภัคคกาญ-จนพัฒน์</t>
  </si>
  <si>
    <t>อ.ดร.พิทักษ์ นิลนพคุณ
ผศ.ดร.อุษา คงทอง
เรือตรีชัยวัฒน์ บวรวัฒนเศรษฐ์</t>
  </si>
  <si>
    <t>ผศ.ดร.อุษา คงทอง
รศ.ดร.สมบัติ คชสิทธิ์
สัณหพัฒน์ อรุณธารี</t>
  </si>
  <si>
    <t>ผศ.ดร.สุวรรณา  โชติสุกานต์
ผศ.ดร.ช่อเพชร  เบ้าเงิน
เพียงวาด  ช่วยท้าว</t>
  </si>
  <si>
    <t>ผศ.ดร.สุวรรณา  โชติสุกานต์
ผศ.ดร.ช่อเพชร  เบ้าเงิน
ณัชชา  รอดสม</t>
  </si>
  <si>
    <t>ผศ.ดร.สุวรรณา  โชติสุกานต์
ผศ.ดร.ช่อเพชร  เบ้าเงิน
ยุวดี  ทรงโภค</t>
  </si>
  <si>
    <t>ผศ.ดร.สุวรรณา โชติสุกานต์
อังคณา สุวรียนนท์</t>
  </si>
  <si>
    <t>อ.ดร.ชาญชัย วงศ์สิรสวัสดิ์
ภิรมณ์ จันทร์โนทัย</t>
  </si>
  <si>
    <t>อ.ดร.ชาญชัย วงศ์สิรสวัสดิ์
อ.ดร.เลอลักษณ์  โอทกานนท์
พิทยาภรณ์ อรชัย</t>
  </si>
  <si>
    <t>อ.ดร.ชาญชัย  วงศ์สิรสวัสดิ์
อ.ดร.เลอลักษณ์  โอทกานนท์
แรงชนน์ ขวัญศรี</t>
  </si>
  <si>
    <t>อ.ดร.ศักดา  สถาพรวนา
รศ.ดร.อรสา  จรูญธรรม
ศุภัตรา นนท์คำวงศ์</t>
  </si>
  <si>
    <t>อ.ดร.ศักดา  สถาพรวนา
ผศ.ดร.สุวรรณา  โชติสุกานต์
คำตัน จันทะวงษา</t>
  </si>
  <si>
    <t>อ.ดร.ศักดา  สถาพรวนา
อ.ดร.ชาญชัย  วงศ์สิรสวัสดิ์
สุวรรณา เพ็งเที่ยง</t>
  </si>
  <si>
    <t>อ.ดร.ศักดา  สถาพรวนา
รศ.ดร.อรสา  จรูญธรรม
เพียงหทัย แก้วดวงงาม</t>
  </si>
  <si>
    <t>อ.ดร.ชาญชัย วงศ์สิรสวัสดิ์
ภิญโญ จูสี</t>
  </si>
  <si>
    <t>งานประชุมวิชาการระดับชาติ มหาวิทยาลัยราชภัฏกลุ่มศรีอยุธยา ครั้งที่ ๖ ระหว่างวันที่  ๒๓ – ๒๔ กรกฎาคม ๒๕๕๘ ณ มหาวิทยาลัยราชภัฏเทพสตรี อำเภอเมือง จังหวัดลพบุรี</t>
  </si>
  <si>
    <t xml:space="preserve">53rd of Kasetsart University Annual Conference. February 3-6, 2015. Bangkok, Thailand </t>
  </si>
  <si>
    <t>อ.ดร.ศักดิ์ชาย นาคนก 
รศ.วรุณี  เชาวน์สุขุม
นส.สุธาสินี  มูลผล</t>
  </si>
  <si>
    <t>พฤติกรรมการเลือกซื้อเสื้อผ้ามือสองของผู้บริโภคในจังหวัดปทุมธานี การประชุมระดับชาติ ม.เทคโนโลยีราชมงคลล้านนา เชียงราย ประจำปี 2558  ระหว่างวันที่ 23-24 มี.ค.58</t>
  </si>
  <si>
    <t>อ.ดร.ศักดิ์ชาย  นาคนก
รศ.วรุณี  เชาวน์สุขุม
นส.อรสา  คำมันตรี</t>
  </si>
  <si>
    <t>มาตรฐานฝีมือแรงงานที่มีผลต่อการปรับตัวของแรงงานไทย : กรณีศึกษาแรงงานไทยในเขตอุตสาหกรรมนวนคร จังหวัดปทุมธานี การประชุมระดับชาติ ม.เทคโนโลยีราชมงคลล้านนา เชียงราย ประจำปี 2558  ระหว่างวันที่ 23-24 มี.ค. 58</t>
  </si>
  <si>
    <t>อ.ดร.ศักดิ์ชาย  นาคนก
รศ.วรุณี  เชาวน์สุขุม
นายยุทธศักดิ์  แกล้ววิทย์กิจ</t>
  </si>
  <si>
    <t>อ.ดร.ศักดิ์ชาย  นาคนก
รศ.วรุณี  เชาวน์สุขุม
นายสามารถ  เต็มจิตต์</t>
  </si>
  <si>
    <t>รศ.วรุณี  เชาวน์สุขุม
รศ.ดวงตา สราญรมย์
น.ส.จุฑาทิพย์  จริตญาติ</t>
  </si>
  <si>
    <t>อ.ดร.รัตนา   สีดี
ผศ.เจษฎา  ความคุ้นเคย
น.ส.บุญเรือน   ทาไร</t>
  </si>
  <si>
    <t>อ.ดร.รัตนา   สีดี
ผศ.วรพจน์ บุษราคัมวดี
น.ส.นงลักษณ์  โพธิ์งาม</t>
  </si>
  <si>
    <t>อ.ธนิษฐ์นันท์  จันทร์แย้ม
น.ส.ธิดารัตน์ จอมเกาะ</t>
  </si>
  <si>
    <t>อ.ปริญ  วีระพงษ์
นส.สุภารัตน์ ดาวรุ่งรัมย์</t>
  </si>
  <si>
    <t>อาจารย์กิตินันท์  มากปรางค์
นายอาชา   สว่างศรี</t>
  </si>
  <si>
    <t>รศ.วรุณี  เชาวน์สุขุม
นางรุ่งรณิดา  ถาวรสุข</t>
  </si>
  <si>
    <t>อ.ดร.รัตนา  สีดี
นายกมลวิชย  วีระชาติ</t>
  </si>
  <si>
    <t>ผศ.ดร.วงศ์ธีรา  สุวรรณิน
รศ.วรุณี  เชาวน์สุขุม
น.ส.นิภาวรรณ  สูงเก่า</t>
  </si>
  <si>
    <t>ผศ.ดร.วงศ์ธีรา  สุวรรณิน
รศ.วรุณี  เชาวน์สุขุม
น.ส.อัจฉรี   พาหา</t>
  </si>
  <si>
    <t>ภาพลักษณ์องค์การที่มีผลต่อความภักดีของผู้ใช้บริการของธนาคารออมสินเขต 1 ปทุมธานี การประชุมวิชาการเสนอผลงานวิจัย ระดับชาติ ครั้งที่ 35  มหาวิทยาลัยราชภัฏราชนครินทร์ ระหว่างวันที่  25-26 มิ.ย. 58</t>
  </si>
  <si>
    <t>ผศ.ดร.วงศ์ธีรา  สุวรรณิน
รศ.วรุณี  เชาวน์สุขุม
น.ส.น้องนุช  สมจิตต์</t>
  </si>
  <si>
    <t>ผศ.เจษฎา  ความคุ้นเคย
รศ.ดวงตา  สราญรมย์
นายภูมิพัฒน์  ภาษิต</t>
  </si>
  <si>
    <t>ผศ.เจษฎา  ความคุ้นเคย
รศ.ดวงตา  สราญรมย์
นางจริญญา  ภาษิต</t>
  </si>
  <si>
    <t>ปัจจัยส่วนประสมการตลาดบริการและคุณภาพการบริการของหน่วยกายภาพบำบัดและธาราบำบัด คณะสหเวชศาสตร์ มหาวิทยาลัยธรรมศาสตร์ การประชุมวิชาการเสนอผลงานวิจัย ระดับชาติ ครั้งที่ 35 มหาวิทยาลัยราชภัฏราชนครินทร์ ระหว่างวันที่  25-26 มิ.ย. 58</t>
  </si>
  <si>
    <t>ผศ.ดร.วงศ์ธีรา สุวรรณิน
รศ.วรุณี  เชาวน์สุขุม
นางศากุน  ทับทอง</t>
  </si>
  <si>
    <t>ความสัมพันธ์ระหว่างองค์ประกอบขององค์กรแห่งความสุขกับคุณภาพชิวิตการทำงานของพนักงานบริษัท มิซูโนพลาสติก จำกัด การประชุมวิชาการเสนอผลงานวิจัย ระดับชาติ ครั้งที่ 35 มหาวิทยาลัยราชภัฏราชนครินทร์ ระหว่างวันที่  25-26 มิ.ย. 58</t>
  </si>
  <si>
    <t>ผศ.ดร.วงศ์ธีรา สุวรรณิน
ผศ.เจษฎา  ความคุ้นเคย
นายสมคิด  อินทร์พญา</t>
  </si>
  <si>
    <t>หลักเสริมสร้างความปลอดภัยของพนักงานกองซ่อมใหญ่ (อากาศยานที่ 2) ฝ่ายช่าง บริษัท การบินไทย จำกัด (มหาชน) การประชุมวิชาการเสนอผลงานวิจัย ระดับชาติ ครั้งที่ 35 มหาวิทยาลัยราชภัฏราชนครินทร์ ระหว่างวันที่  25-26 มิ.ย. 58</t>
  </si>
  <si>
    <t>ผศ.อาทิมา  แป้นธัญญานนท์
ผศ.ดร.วงศ์ธีรา  สุวรรณิน
นางพิสมัย  วรรณชนะ</t>
  </si>
  <si>
    <t>ความสัมพันธ์ระหว่างส่วนประสมทางการตลาดกับพฤติกรรมการท่องเที่ยวชาวไทยในตลาดต้าน้ำบ้านต้นตาล จังหวัดสระบุรี การประชุมวิชาการเสนอผลงานวิจัย ระดับชาติ ครั้งที่ 35 มหาวิทยาลัยราชภัฏราชนครินทร์ ระหว่างวันที่  25-26 มิ.ย. 58</t>
  </si>
  <si>
    <t>ผศ.ดร.วงศ์ธีรา  สุวรรณิน
อ.ดร.ศักดิ์ชาย  นาคนก
นางปัทมา  วิบูลย์จันทร์</t>
  </si>
  <si>
    <t>คุณภาพการให้บริการของโรงพยาบาลการุญเวช  ปทุมธานี  จังหวัดปทุมธานี การประชุมวิชาการเสนอ ผลงานวิจัยระดับชาติ ครั้งที่ 35 มหาวิทยาลัยราชภัฏราชนครินทร์ ระหว่างวันที่  25-26 มิ.ย. 58</t>
  </si>
  <si>
    <t>รศ.วรุณี  เชาวน์สุขุม
รศ. สมชาย วิริยะยุทธกร
นางรณพร  ประสงค์สุข</t>
  </si>
  <si>
    <t>คุณภาพการให้บริหารเชิงธุรกิจของวารสารเทคนิคการแพทย์ การประชุมวิชาการเสนอผลงานวิจัย ระดับชาติ ครั้งที่ 35 มหาวิทยาลัยราชภัฏราชนครินทร์ ระหว่างวันที่  25-26 มิถุนายน 58</t>
  </si>
  <si>
    <t>ผศ.ดร.วงศ์ธีรา  สุวรรณิน
รศ.วรุณี  เชาวน์สุขุม
นางวรรณา จันทร์กลม</t>
  </si>
  <si>
    <t>อ.ดร. ศักดิ์ชาย  นาคนก
รศ.วรุณี  เชาวน์สุขุม
น.ส.ธนวดี ทิพย์คงคา</t>
  </si>
  <si>
    <t>ผศ.ดร.วงศ์ธีรา สุวรรณิน
ผศ.เจษฎา  ความคุ้นเคย
น.ส.มสารัตน์  วรรณทิพภากรณ์</t>
  </si>
  <si>
    <t>ความสัมพันธ์ระหว่างการรับรู้บรรยากาศองค์การกับองค์การแห่งการเรียนรู้ บริษัท สยามคูโบต้าคอร์ปอเรชั่นจำกัด นำเสนอผลงานในงาน ประชุมสัมมนาทางวิชาการนำเสนอผลงานวิจัยระดับชาติ และนานาชาติเครือข่ายบัณฑิตศึกษาราชภัฏภาคเหนือ ครั้งที่ 15 ในวันที่23 ก.ค.58  ณ มหาวิทยาลัยราชภัฏนครสวรรค์</t>
  </si>
  <si>
    <t>อ.ดร.ศักดิ์ชาย  นาคนก
ผศ.อาภา  ไสยสมบัติ
นางจินตนา  โสมมูล</t>
  </si>
  <si>
    <t>อ.ดร.รัตนา สีดี
ผศ.เจษฎา  ความคุ้นเคย
น.ส.กฤติยามนต์  จันทร์นอก</t>
  </si>
  <si>
    <t>อ.ธนิษฐ์นันท์ จันทร์แย้ม
น.ส.วาสินี  ยิ้มแฉ่ง
น.ส.สิรัฐณัฏฐ์  สว่างศรี</t>
  </si>
  <si>
    <t>อ.ปริญ  วีระพงษ์
นส.สุภารัตน์  ดาวรุ่งรัมย์
นส.สุรีวัลย์  ช่วงขุนทด</t>
  </si>
  <si>
    <t>อ.ดร.รัตนา  สีดี
ผศ.วรพจน์ บุษราคัมวดี
น.ส.ก้อย  ยศเจริญ</t>
  </si>
  <si>
    <t>อ.ดร.รัตนา  สีดี
ผศ.ดร.วงศ์ธีรา  สุวรรณิน
นายจรูญ  พรหมสะโร</t>
  </si>
  <si>
    <t>อ.ดร.ศักดิ์ชาย  นาคนก
อ.ดร.ณัตตยา  เอี่ยมคง
น.ส.อภิญญา อินนุพัฒน์</t>
  </si>
  <si>
    <t>ปัจจัยที่ใช้ในการพิจารณาการให้สนเชื่อที่ส่งผลต่อการเกิดหนี้ที่ไม่ก่อให้เกิดรายได้ ของธนาคารเพื่อ การเกษตรและสหกรณ์การเกษตรในจังหวัดปทุมธานี งานประชุมวิชาการเสนอผลงานวิจัยระดับบัณฑิตศึกษา มสธ. ครั้งที่ 5 วันที่ 27 พ.ย. 58 มหาวิทยาลัยสุโขทัยธรรมาธิราช</t>
  </si>
  <si>
    <t>อ.ปริญ  วีระพงษ์
นส.ศิริน  เลิศธารากิจ
นส.อนิย์ชนา เช่รัมย์</t>
  </si>
  <si>
    <t>กรอบแนวคิดตัวแบบการบูรณาการการวัดประสิทธิภาพของโซ่อุปทาน การประชุมสัมมนาเชิงวิชาการด้านการจัดการโลจิสติกส์และโซ่อุปทาน ครั้งที่ 15 ระหว่างวันที่ 25-29 พ.ย. 58 ณ สำนักวิชาการจัดการ มหาวิทยาลัยแม่ฟ้าหลวง</t>
  </si>
  <si>
    <t>อ.ปริญ  วีระพงษ์
นส.รัชนี  สารักษ์</t>
  </si>
  <si>
    <t>อ.ปริญ  วีระพงษ์
นส.สุดารัตน์  ไวเร็ว</t>
  </si>
  <si>
    <t>การลดของเสียเพื่อให้เกิดประสิทธิภาพในการทำงานโดยใช้ระบบการควบคุมด้วยการมองเห็น กรณีศึกษา บริษัท อิเล็กทรอนิกส์ ประเทศไทย (จำกัด)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</si>
  <si>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อ.ปริญ  วีระพงษ์
นายปรัชญา   ไวยฤทธิ์</t>
  </si>
  <si>
    <t>อ.ธนิษฐ์นันท์  จันทร์แย้ม
นายภัทรดร  จันทิมา</t>
  </si>
  <si>
    <t>อาจารย์ธนิษฐ์นันท์  จันทร์แย้ม
นส.จินดาพร  พุฒทอง</t>
  </si>
  <si>
    <t>อ.ธนิษฐ์นันท์  จันทร์แย้ม
นส.มยุรี  ขันทอง</t>
  </si>
  <si>
    <t>41.ปัจจัยที่มีผลต่อการเลือกเมล็ดพันธุ์ ในโซ่อุปทานข้าว เพื่อใช้ในการปลูกของเกษตรกรหมู่ที่ 6 ตำบลวังน้อย อำเภอวังน้อย จังหวัดพระนครศรีอยุธยา แหล่งที่เผยแพร่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</si>
  <si>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อ.ถิรนันท์  ทิวาราตรีวิทย์
นส.ชาลิสา  อินทร์สรวล</t>
  </si>
  <si>
    <t>การปรับปรุงประสิทธิภาพกระบวนการรับสินค้าและจ่ายสินค้าในคลังสินค้าสำเร็จรูป 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</si>
  <si>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อ.ถิรนันท์  ทิวาราตรีวิทย์
นายสุรเดช  เลิศสมบูรณ์สุข</t>
  </si>
  <si>
    <t>อ.ถิรนันท์  ทิวาราตรีวิทย์
นายอนุลักษณ์  พุทชัง</t>
  </si>
  <si>
    <t>อ.กิตินันท์  มากปรางค์
นส.หฤทัย  แซ่ฉั่ว</t>
  </si>
  <si>
    <t>อ.กิตินันท์  มากปรางค์
นส.น้ำผึ้ง  ต้นทุน</t>
  </si>
  <si>
    <t>อ.กิตินันท์  มากปรางค์
นส.ศศิมาพันธ์ พิมพ์พันธุ์</t>
  </si>
  <si>
    <t>การประยุกต์ใช้กระบวนการลำดับขั้นเชิงวิเคราะห์เพื่อตัดสินใจเลือกระบบเทคโนโลยีสารสนเทศ : กรณีศึกษา บริษัท คอนเนลส์ เอนจิเนียริ่ง (ประเทศไทย) จำกัด การประชุมวิชาการ การนำเสนอผลงานระดับชาติมหาวิทยาลัย 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</si>
  <si>
    <t>รศ.วรุณี  เชาวน์สุขุม
รศ.ดวงตา  สราญรมย์
นส.อารียา  สระผล</t>
  </si>
  <si>
    <t>อ.ดร.ศักดิ์ชาย  นาคนก
นายธีรวิทย์  ริยะวงศ์</t>
  </si>
  <si>
    <t>ปัจจัยที่มีผลกระทบต่อดัชนีราคาตลาดหลักทรัพย์แห่งประเทศไทย การประชุมวิชาการ นำเสนอผลวิจัยบัณฑิตศึกษาระดับชาติและระดับนานาชาติ ครั้งที่ 7 วันที่ 25 ธ.ค. 58  มหาวิทยาลัยเกษตรศาสตร์</t>
  </si>
  <si>
    <t>อ.ดร.ศักดิ์ชาย  นาคนก
อ.ดร.ณัตตยา เอี่ยมคง
นส.จุฑาพร  เตยแก้ว</t>
  </si>
  <si>
    <t>อ.ดร.ศักดิ์ชาย  นาคนก
นางศรัณย์รัชต์  พวงสมบัติ</t>
  </si>
  <si>
    <t>ปัจจัยที่มีความสัมพันธ์กับพฤติกรรมผู้บริโภคในการเลือกซื้อสินค้า OTOP ของจังหวัดอ่างทอง  การประชุมวิชาการ นำเสนอผลวิจัยบัณฑิตศึกษาระดับชาติและระดับนานาชาติ ครั้งที่ 7 วันที่ 25 ธ.ค. 58  มหาวิทยาลัยเกษตรศาสตร์</t>
  </si>
  <si>
    <t>รศ.ดร.ศศมล ผาสุข 
ผศ.ดร.ปัณณ์รภัส ถกลภักดี</t>
  </si>
  <si>
    <t>ปัจจัยที่มีความสัมพันธ์กับความเครียดจากการทำงานของพนักงาน โรงงานแปรรูปอาหารในอำเภอโชคชัย จังหวัดนครราชสีมา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225-230.</t>
  </si>
  <si>
    <t>การผลิตผงชูรสจากผักที่มีกูลตาเมตและกัวนิเลตสูงในผลิตภัณฑ์แป้งชุบทอดการประชุมวิชาการระดับชาติครั้งที่ 2 สถาบันวิจัยและพัฒนา มหาวิทยาลัยราชภัฏกำแพงเพชร วันที่ 22 ธันวาคม 2558 หน้า 515-524</t>
  </si>
  <si>
    <t>อ.โยธิน กัลยาเลิศ และ
อาจารย์วรายุทธ์ อัครพัฒนพงษ์</t>
  </si>
  <si>
    <t>อ.จุฑารัตน์ พงษ์โนรี และ
อาจารย์บังอร ธรรมศิริ</t>
  </si>
  <si>
    <t xml:space="preserve">ผศ.ดร.ปัณณ์รภัส ถกลภักดี และรศ.ดร.ศศมล ผาสุข </t>
  </si>
  <si>
    <t>การผลิตน้ำหมักชีวภาพเสริมโพรไบโอติกจากเห็ดหอม  การประชุมวิชาการระดับชาติครั้งที่ 2 สถาบัน วิจัยและพัฒนา มหาวิทยาลัยกำแพงเพชร วันที่ 22 ธันวาคม 2558 หน้า 677-683</t>
  </si>
  <si>
    <t>จากงานวิจัยสู่บทปฏิบัติการการกำจัดโลหะหนักในน้ำเสียโดยใช้หินพัมมิช. การประชุมวิชาการระดับชาติครั้งที่ 2 สถาบันวิจัยและพัฒนา มหาวิทยาลัยราชภัฏกำแพงเพชร วันที่ 22 ธันวาคม 2558 หน้า 924 - 928</t>
  </si>
  <si>
    <t>การตรวจสอบการปนเปื้อนบอแรกซ์ในผักและผลไม้ดอง ในชุมชนรอบมหาวิทยาลัยราชภัฏวไลยอลงกรณ์ ในพระบรมราชูปถัมภ์ โดยใช้ชุดทดสอบเบื้องต้น. การประชุมวิชาการระดับชาติ วิทยาศาสตร์และเทคโนโลยีระหว่างสถาบัน ครั้งที่ 3 ระหว่างวันที่ 28-29 พฤษภาคม 2558 ณ มหาวิทยาลัยหอการค้าไทย กรุงเทพมหานคร หน้าที่ 194-198</t>
  </si>
  <si>
    <t>อ.จุฑารัตน์ โพธิ์หลวง และ
อาจารย์ฐิติมา เกษาหอม</t>
  </si>
  <si>
    <t>Encapsulation of Probiotic Bacteria and Evaluation of Survival in Simulated Gastrointestinal Conditions. Seoul International Conference on Engineering and Applied Science 2015 8-10 January 2015 pp. 473-479</t>
  </si>
  <si>
    <t>Antioxidant Activity and Total Phenolics from Ardisia Elliptica Thunb. Cured Extracts. การประชุมวิชาการระดับชาติและนานาชาติ “ราชภัฏวิจัย ครั้งที่ 3” 20-22 พฤษภาคม2558 หน้า 206-211</t>
  </si>
  <si>
    <t>อ.วัชราภรณ์ วงศ์สกุลกาญจน์ 
อ.บุษยา จูงาม</t>
  </si>
  <si>
    <t>อ.บุษยา จูงาม
อ.วัชราภรณ์ วงศ์สกุลกาญจน์</t>
  </si>
  <si>
    <t>ผศ.ดร.ปัณณรภัส ถกลภักดี 
อ.ณหทัย โชติกลาง</t>
  </si>
  <si>
    <t>อ.ดร.นพรัตน์ ไวโรจนะ ไวโรจนะ</t>
  </si>
  <si>
    <t>ผศ.ดรุณี หันวิสัย</t>
  </si>
  <si>
    <t>รศ.ดร.ศรีน้อย ชุ่มคำ</t>
  </si>
  <si>
    <t>อ.ธนพร  พยอมใหม่</t>
  </si>
  <si>
    <t>อ.จิรัญญา  โชตยะกุล</t>
  </si>
  <si>
    <t>อ.ชวาลา  ละวาทิน 
อ.ทิพย์สุคนธ์ ไตรต้นวงศ์</t>
  </si>
  <si>
    <t>อาหารและขนมไทยพื้นบ้านโบราณ  หมู่บ้านคลองขนมหวาน  อ.ปากเกร็ด  จ.นนทบุรี</t>
  </si>
  <si>
    <t>อ.ดร.สุนทรี  จีนธรรม 
ผศ.ดร.ปัณณ์รภัส  ถกลภักดี</t>
  </si>
  <si>
    <t>อ.ณัฐกานต์ ทองพันธุ์พาน
อ.สุรีย์พร ธรรมิกพงษ์</t>
  </si>
  <si>
    <t>อ.มัชฌกานต์ เผ่าสวัสดิ์ 
อ.ประภากรณ์ คัดทจันทร์</t>
  </si>
  <si>
    <t>อ.กมลมาศ วงษ์ใหญ่ 
อ.มัชฌกานต์ เผ่าสวัสดิ์</t>
  </si>
  <si>
    <t>อ.ดาวรถา วีระพันธ์
อ.ชญาภา บาลไธสง</t>
  </si>
  <si>
    <t>อ.ไพรินทร์ มีศรี
อ.อวยพร มีศรี</t>
  </si>
  <si>
    <t>อ.อัจจิมา มั่นทน
สมจินต์ บุตระ</t>
  </si>
  <si>
    <t>อ.ไพรินทร์  มีศรี
อ.อวยพร มีศรี</t>
  </si>
  <si>
    <t>ผศ.ณพัฐอร บัวฉุน 
ปิยะพัฒน์  สุนทรศาสตร์</t>
  </si>
  <si>
    <t>ผศ.ณพัฐอร  บัวฉุนและ
ปิยะพัฒน์  สุนทรศาสตร์</t>
  </si>
  <si>
    <t>อ.กิตติศักดิ์ สิงห์สูงเนิน และณมน จีรังสุวรร</t>
  </si>
  <si>
    <t>ยุทธศาสตร์การพัฒนาชุมชนตามแนวปรัชญาเศรษฐกิจพอเพียง (วารสารวิจัยและพัฒนา วไลยอลงกรณ์ ในพระบรมราชูปถัมภ์ ปีที่ 10 ฉบับที่ 3  ก.ย.- ธ.ค. 58)</t>
  </si>
  <si>
    <t>ประสิทธิผลการบริหารจัดการทรัพยากรน้ำเพื่อการเกษตรในเขตลุ่มน้ำชี (วารสารบัณฑิตศึกษา มรภ.สวนสุนันทา ปีที 8 ฉบับที่ 2 ก.ค. – ธ.ค. 58)</t>
  </si>
  <si>
    <t>ประสิทธิผลการบริหารความโปร่งใสขององค์การบริหารส่วนจังหวัดปทุมธานี (วารสารช่อพะยอม คณะมนุษยศาสตร์และสังคมศาสตร์ มหาวิทยาลัยราชภัฏมหาสารคาม ปีที่ 26 ฉบับที่ 1 ม.ค. – มิ.ย. 58)</t>
  </si>
  <si>
    <t>การพัฒนากลยุทธ์การสร้างภูมิคุ้มกันและป้องกันยาเสพติดในจังหวัดร้อยเอ็ด (วารสารความหลากหลายทางวัฒนธรรม มหาวิทยาลัยมหาสารคาม ปีที่ 14 ฉบับที่ 32 พ.ค. – ส.ค. 58)</t>
  </si>
  <si>
    <t>ความสัมพันธ์ระหว่างนโยบายการบริหารจัดการทรัพยากรมนุษย์สายวิชาการกับผลการปฏิบัติงานทรัพยากรมนุษย์ สายวิชาการในมหาวิทยาลัยราชภัฏ(วารสารวิชาการ มหาวิทยาลัยราชภัฏกาญจนบุรี “Journal of Kanchanaburi Rajabhat University” ปีที่ 4 ฉบับที่ 2 ก.ค. – ธ.ค. 58)</t>
  </si>
  <si>
    <t>การเข้าสู่ตำแหน่งผู้นำองค์การของเพศหญิง: ความเป็นไปได้ที่ไม่แตกต่าง (วารสารวิชาการ ม.อีสเทิร์นเอเชีย ปีที่ 5 ฉบับที่ 2 ประจำเดือนพ.ค.-ส.ค. 58)</t>
  </si>
  <si>
    <t>ผศ.ดร.กันต์ฤทัย  คลังพหล
สาธิดา  สกุลรัตนกุลชัย</t>
  </si>
  <si>
    <t>ผศ.ดร.ช่อเพชร เบ้าเงิน
ทวี  ควรผล</t>
  </si>
  <si>
    <t>อ.ดร.ศักดา  สถาพรวจนา
อาจอง ชุมสาย
ทัศนีย์ ทองสม</t>
  </si>
  <si>
    <t>อ.ดร.ชาญชัย วงศ์สิรสวัสดิ์
จิรัฎฐ์  ฉัตร์เบญจรักษ์</t>
  </si>
  <si>
    <t>ผศ.ดร.สุธี  พรรณหาญ
ผศ.ดร.อุษา คงทอง
นางผ่องศรี เครือกลัด</t>
  </si>
  <si>
    <t>ผศ.ดร.ชาตรี เกิดธรรม
อ.ดร.อังคนา กรัณยาธิกุล
นรินทร์ อินทรี</t>
  </si>
  <si>
    <t>อ.ดร.ศักดา สถาพรวจนา
ผศ.ดร.ช่อเพชร เบ้าเงิน
จิตพทัย รุณกระโทก</t>
  </si>
  <si>
    <t>อ.ดร.บุญเรือง ศรีเหรัญ
ผศ.ดร.อุษา  คงทอง
ถนัด บุญอิสระเสรี</t>
  </si>
  <si>
    <t>ผศ.ดร.สุธี พรรณหาญ
อ.ดร.ศักดิ์ สุวรรณฉาย
พัชรศรัณย์ ศิริพันธ์</t>
  </si>
  <si>
    <t>อ.ดร.ศศิธร จันทมฤก
ผศ.พนิดา ชาตยาภา
มนตรา ศรีเมือง</t>
  </si>
  <si>
    <t>ผศ.ดร.สุวรรณา โชติสุกานต์
อ.ดร.ชาญชัย วงศ์สิรสวัสดิ์
ปัทมา สายพร้อมญาติ</t>
  </si>
  <si>
    <t>ผศ.ดร.สอาด บรรเจิดฤทธิ์
อ.ดร.ปิยะวรรณ เลิศพานิช
ยุวดี รื่นภาค</t>
  </si>
  <si>
    <t>ผศ.ดร.ประยูร บุญใช้
ภูมิพงศ์ จอมหงษ์พิพัฒน์</t>
  </si>
  <si>
    <t>อ.ดร.ประยูร บุญใช้
ภูมิพงศ์ จอมหงษ์พิพัฒน์
นิพนธ์ บรรสาร</t>
  </si>
  <si>
    <t>ผศ.ดร.ประยูร บุญใช้
ภูมิพงศ์ จอมหงษ์พิพัฒน์
สมบัติ สุขสมบูรณ์</t>
  </si>
  <si>
    <t>ความชอบธรรมของอำนาจในการปกครองตามแนวคิดแบบพุทธและพราหมณ์ วารสารวไลยอลงกรณ์ปริทัศน์ ปีที่ 5 ฉบับที่ 2 เดือน ก.ค.–ส.ค. 58</t>
  </si>
  <si>
    <t>อ.ดร.ไททัศน์ มาลา และ
อ.วิไลลักษณ์ เรืองสม</t>
  </si>
  <si>
    <t>การบริหารจัดการอุทกภัยอย่างยั่งยืนขององค์การบริหารส่วนตำบลบึงชำอ้อ อำเภอหนองเสือ จังหวัดปทุมธานี วารสารวไลยอลงกรณ์ปริทัศน์ ปีที่ 5 ฉบับที่ 2 (ก.ค.-ธ.ค. 58) (หน้า 75-85)</t>
  </si>
  <si>
    <t>ความชอบธรรมของอำนาจในการปกครองตามแนวคิดแบบพุทธ และพราหมณ์ วารสารวไลยอลงกรณ์ปริทัศน์ ปีที่ 5 ฉบับที่ 2 (ก.ค.–ธ.ค. 58)</t>
  </si>
  <si>
    <t>แนวทางการบริหารจัดการการวิจัยความหลากหลายทางชีวภาพ (วารสารวิจัยและพัฒนาวไลยอลงกรณ์ ในพระบรมราชูปถัมภ์ปีที 10 ฉบับที่ 3)</t>
  </si>
  <si>
    <t>ผลของสารละลายพัลซิ่ง ต่ออายุการปักแจกันของดอกคาร์เนชั่นย้อมสีฟ้า วารสารวิทยาศาสตร์เกษตร. 2558. 46(3) (พิเศษ): 501-504.</t>
  </si>
  <si>
    <t>อ.ดร.สุพจน์  ทรายแก้ว  
ผศ.ดร.มนัญญา  คำวชิระพิทักษ์ 
อ.ดร.พรรณวิภา  แพงศรี 
อ.ดร.ปิยะ  กล้าประเสริฐ 
อ.อัจจิมา  มั่นทน 
อ.ชุมพล  ปทุมมาเกษร 
อ.ชุมพล  ปทุมมาเกษร 
นางราตรี  มีสมบัติ นายชูศักดิ์ ขันธชาติ</t>
  </si>
  <si>
    <t>อ.ดร.สุนทรี  จีนธรรม
ผศ.ดร.ปัณณ์รภัส  ถกลภักดี และ
อ.จีรภัทร์  อัฐฐิศิลป์เวท</t>
  </si>
  <si>
    <t>อ.ดร.สุนทรี  จีนธรรม และ 
ผศ.ดร.ปัณณ์รภัส  ถกลภักดี</t>
  </si>
  <si>
    <t>ความต้องการของประชาชนในการจัดตั้งศูนย์สิ่งแวดล้อมศึกษาด้านการอนุรักษ์ภูมิปัญญาผึ้งสายพันธ์ชันโรง ตำบลปัถวี อำเภอมะขาม จังหวัดจันทบุรี.วารสารวิชาการมหาวิทยาลัยราชภัฎภูเก็ต ปีที่ 11 ฉบับที่ 2 กรกฎาคม-ธันวาคม 2558 หน้า 189-204</t>
  </si>
  <si>
    <t>ประสิทธิผลการบริหารจัดการภูมิปัญญาท้องถิ่นในเขตพื้นที่ภาคเหนือตอนล่าง (วารสารการวิจัยและพัฒนาชุมชน (มนุษยศาสตร์และสังคมศาสตร์) ม.นเรศวร ปีที่ 8 ฉบับที่ 2 พ.ค. –ส.ค. 58)</t>
  </si>
  <si>
    <t>ประสิทธิผลการนำนโยบายยางพาราไปปฏิบัติของสถาบันเกษตรกรยางพาราในจังหวัดภาคใต้ตอนบน (วารสารบัณฑิตศึกษา มรภ.วไลยอลงกรณ์ ปีที่ 9 ฉบับที่ 2 พ.ค. – ส.ค. 58)</t>
  </si>
  <si>
    <t>Fixed point theorem and stability for (α,ψ,ξ )-generalized contractive multivalued mappings. Transactions on Engineering Technologies (2015) page 127-139</t>
  </si>
  <si>
    <t>อ.ดร.ศักดา สถาพรวจนา
นนทนัฏดา  ว่องประจันทร์</t>
  </si>
  <si>
    <t>แบบจำลองเชิงสาเหตุของความต้องการการลาออกของพนักงานมหาวิทยาลัยราชภัฏ วารสารปัญญาภิวัฒน์ ปีที่ 7 ฉบับที่ 2 ประจำเดือน พฤษภาคม – สิงหาคม 2558</t>
  </si>
  <si>
    <t>การศึกษาความพึงพอใจของประชาชนต่อการดำเนินงานตามแผนยุทธศาสตร์การพัฒนาเทศบาลนครนนทบุรี ประจำปีงบประมาณ พ.ศ. 2557 วารสารบัณฑิตศึกษา มหาวิทยาลัยราชภัฏวไลยอลงกรณ์ ในพระบรมราชูปถัมภ์ ปีที่ 9 ฉบับที่ 2 (พฤษภาคม – สิงหาคม 2558)</t>
  </si>
  <si>
    <t>อ.ดร.ศักดา สถาพรวจนา
รศ.ดร.สมบัติ คชสิทธิ์
เยาวเรศ ตระกูลวีระยุทธ</t>
  </si>
  <si>
    <t>ผศ.ดร.กันต์ฤทัย คลังพหล
สาธิดา สกุลรัตนกุลชัย</t>
  </si>
  <si>
    <t>อ.ดร.พิทักษ์ นิลนพคุณ
ผศ.ดร.บุญเรือง ศรีเหรัญ
พระวชิรญาณ์ เต็งวราภรภัทร</t>
  </si>
  <si>
    <t>ประพรรธน์ พละชีวะ
จุลลดา จุลเสวก</t>
  </si>
  <si>
    <t>รศ.ดร.ชัชจริยา ใบลี
อ.ดร.ประกอบ ผลงาม
อรทัย จิตไธ</t>
  </si>
  <si>
    <t>ผศ.ดร.อุษา คงทอง
ผศ.ดร.กันต์ฤทัย คลังพหล
ดวงแก้ว เฉลยเจริญ</t>
  </si>
  <si>
    <t>อ.ดร.พิทักษ์ นิลนพคุณ
ผศ.ดร.อุษา คงทอง
ชัยวัฒน์ บวรวัฒนเศรษฐ์</t>
  </si>
  <si>
    <t>The Forecasing Inovation by Discrete Kalman Filter to Predict Non-Stationary Observations.วารสารวิชาการนานาชาติ ICIC Express Letter (Volume 9,Number 12, December 2015)</t>
  </si>
  <si>
    <t>Performance Evaluation of Solar TUNNEL Dryer for paddy  Drying at Prathum Tani, of Solar TUNNEL Dryer for paddy  Drying at Prathum Tani, Thailand วารสารวิชาการนานาชาติ Applied Mechanics and Materials (Applied mechanics and Materials Vols.799-800(2015)pp 1455-1458)</t>
  </si>
  <si>
    <t>ผศ.กฤษฎางค์ ศุกระมูล</t>
  </si>
  <si>
    <t>อ.ดร.นพรัตน์  ไวโรจนะ</t>
  </si>
  <si>
    <t>อ.ดร. ปรินทร เต็มญารศิลป์</t>
  </si>
  <si>
    <t>อ.ดร.อัณนภา  สุขลิ้ม</t>
  </si>
  <si>
    <t>Effects of day-of-week trends and vehicle types on PM2.5-bounded carbonaceous compositions ELSEVIER Science of the Total Environment 532 (2015) หน้าที่ 484-494  13 June 2015</t>
  </si>
  <si>
    <t>อ.จิตตรี พละกุล</t>
  </si>
  <si>
    <t>อ.ศุภมัย พรหมแก้ว</t>
  </si>
  <si>
    <t>แหลมใหญ่...สมุทรสงคราม...แหล่งเรียนรู้ระบบนิเวศป่าชายเลน บทที่ 4 ป่าใหญ่ ณ แหลมใหญ่:แหล่งรวมความหลากหลายของสรรพชีวิตชายฝั่ง ภายใต้โครงการวิจัยเรื่อง “การประเมินสถานภาพความอุดมสมบูรณ์ของพื้นที่ป่าชายเลนและกลไกทางสังคมเพื่อพัฒนาเป็นศูนย์เรียนรู้ระบบนิเวศป่าชายเลน” สนับสนุนโดย บริษัท ปตท. จำกัด (มหาชน) 2558</t>
  </si>
  <si>
    <t>หนังสือเศรษฐศาสตร์เพื่อการศึกษา : ผลตอบแทนจากการลงทุนในการศึกษา บันทึกข้อความส่วนราชการ สำนักงานสภามหาวิทยาลัย ที่ ศธ.0551.18/343 เรื่อง แจ้งมติ สภามหาวิทยาลัย ครั้งที่ 10/2558 สภามหาวิทยาลัย เห็นชอบ การแต่งตั้งให้อาจารย์ประจำมหาวิทยาลัยราชภัฏวไลยอลงกรณ์ ในพระบรมราชูประถัมภ์ จังหวัดปทุมธานี ดำรงตำแหน่งทางวิชาการ</t>
  </si>
  <si>
    <t>ผศ.เอก ศรีเฉลียง และ
อ.ดร.ดรุณศักดิ์ ตติยะลาภะ</t>
  </si>
  <si>
    <t>โครงการพัฒนาเครือข่ายและรณรงค์เฝ้าระวังปัญหาการท่องเที่ยวที่แสวงประโยชน์ทางเพศจากเด็ก ประจำปีงบประมาณ พ.ศ.2558 กรมการท่องเที่ยว  วันที่ 29 ม.ค. 58 – 25 ก.ย. 58</t>
  </si>
  <si>
    <t>นิติกรรมและสัญญา  (ตำราที่ผ่านการพิจารณาขอตำแหน่งทางวิชาการ)</t>
  </si>
  <si>
    <t>จำนวน</t>
  </si>
  <si>
    <t>คุณภาพผลงานทางวิชาการ</t>
  </si>
  <si>
    <t>บทความวิจัยหรือบทความวิชาการฉบับสมบูรณ์ที่ตีพิมพ์ในรายงานสืบเนื่องจากการประชุมวิชาการระดับชาติ</t>
  </si>
  <si>
    <t>- บทความวิจัยหรือบทความวิชาการฉบับสมบูรณ์ที่ตีพิมพ์ในรายงานสืบเนื่องจากการประชุมวิชาการระดับนานาชาติ หรือในวารสารทางวิชาการระดับชาติที่ไม่อยู่ในฐานข้อมูล ตามประกาศ ก.พ.อ. หรือระเบียบคณะกรรมการการอุดมศึกษาว่าด้วย หลักเกณฑ์การพิจารณาวารสารทางวิชาการสำหรับการเผยแพร่ผลงานทางวิชาการ พ.ศ. 2556 แต่สถาบันนำเสนอสภาสถาบันอนุมัติและจัดทำเป็นประกาศให้ทราบเป็นการทั่วไป และแจ้งให้ กพอ./กกอ.ทราบภายใน 30 วันนับแต่วันที่ออกประกาศ</t>
  </si>
  <si>
    <t>บทความวิจัยหรือบทความวิชาการที่ตีพิมพ์ในวารสารวิชาการที่ปรากฏในฐานข้อมูล TCI กลุ่มที่ 2</t>
  </si>
  <si>
    <t>บทความวิจัยหรือบทความวิชาการฉบับสมบูรณ์ที่ตีพิมพ์ในวารสารวิชาการระดับนานาชาติที่ไม่อยู่ในฐานข้อมูล ตามประกาศ ก.พ.อ. หรือระเบียบคณะกรรมการการอุดมศึกษาว่าด้วย หลักเกณฑ์การพิจารณาวารสารทางวิชาการสำหรับการเผยแพร่ผลงานทางวิชาการ พ.ศ. 2556 แต่สถาบันนำเสนอสภาสถาบันอนุมัติและจัดทำเป็นประกาศให้ทราบเป็นการทั่วไป และแจ้งให้ กพอ./กกอ.ทราบภายใน 30 วันนับแต่วันที่ออกประกาศ (ซึ่งไม่อยู่ใน Beall’s list) หรือตีพิมพ์ในวารสารวิชาการที่ปรากฏในฐานข้อมูล TCI กลุ่มที่ 1</t>
  </si>
  <si>
    <t xml:space="preserve">- บทความวิจัยหรือบทความวิชาการฉบับสมบูรณ์ที่ตีพิมพ์ในวารสารวิชาการระดับนานาชาติที่ปรากฏในฐานข้อมูลระดับนานาชาติตามประกาศ ก.พ.อ. หรือระเบียบคณะกรรมการการอุดมศึกษา ว่าด้วย หลักเกณฑ์การพิจารณาวารสารทางวิชาการสำหรับการเผยแพร่ผลงานทางวิชาการ พ.ศ.2556 </t>
  </si>
  <si>
    <t>- ผลงานได้รับการจดสิทธิบัตร</t>
  </si>
  <si>
    <t>- ผลงานวิชาการรับใช้สังคมที่ได้รับการประเมินผ่านเกณฑ์การขอตำแหน่งทางวิชาการแล้ว</t>
  </si>
  <si>
    <t>- ผลงานวิจัยที่หน่วยงานหรือองค์กรระดับชาติว่าจ้างให้ดำเนินการ</t>
  </si>
  <si>
    <t>- ผลงานค้นพบพันธุ์พืช พันธุ์สัตว์ ที่ค้นพบใหม่และได้รับการจดทะเบียน</t>
  </si>
  <si>
    <t xml:space="preserve">- ตำราหรือหนังสือที่ได้รับการประเมินผ่านเกณฑ์การขอตำแหน่งทางวิชาการแล้ว </t>
  </si>
  <si>
    <t>- ตำราหรือหนังสือที่ผ่านการพิจารณาตามหลักเกณฑ์การประเมินตำแหน่งทางวิชาการแต่ไม่ได้นำมาขอรับการประเมินตำแหน่งทางวิชาการ</t>
  </si>
  <si>
    <t>งานสร้างสรรค์ที่มีการเผยแพร่สู่สาธารณะในลักษณะใดลักษณะหนึ่ง หรือผ่านสื่ออิเล็กทรอนิกส์ Online</t>
  </si>
  <si>
    <t>งานสร้างสรรค์ที่ได้รับการเผยแพร่ในระดับสถาบัน</t>
  </si>
  <si>
    <t>งานสร้างสรรค์ที่ได้รับการเผยแพร่ในระดับชาติ</t>
  </si>
  <si>
    <t xml:space="preserve"> งานสร้างสรรค์ที่ได้รับการเผยแพร่ในระดับความร่วมมือระหว่างประเทศ</t>
  </si>
  <si>
    <t xml:space="preserve"> งานสร้างสรรค์ที่ได้รับการเผยแพร่ในระดับภูมิภาคอาเซียน/นานาชาติ</t>
  </si>
  <si>
    <t>จำนวนอาจารย์ประจำทั้งหมด รวมทั้งที่ปฏิบัติงานจริงและลาศึกษาต่อ</t>
  </si>
  <si>
    <t>จำนวนนักวิจัยประจำทั้งหมด รวมทั้งที่ปฏิบัติงานจริงและลาศึกษาต่อ</t>
  </si>
  <si>
    <t>วิทยาศาสตร์กายภาพ</t>
  </si>
  <si>
    <t>วิทยาศาสตร์สุขภาพ</t>
  </si>
  <si>
    <t>เทคโนโลยีอุตสาหกรรม</t>
  </si>
  <si>
    <t>วิทยาศาสตร์และเทคโนโลยี</t>
  </si>
  <si>
    <t>เทคโนโลยีการเกษตร</t>
  </si>
  <si>
    <t>มนุษยศาสตร์</t>
  </si>
  <si>
    <t>ครุศาสตร์</t>
  </si>
  <si>
    <t>วิทยาการจัดการ</t>
  </si>
  <si>
    <t>มนุษยศาสตร์ฯ</t>
  </si>
  <si>
    <t>จำนวนผลงาน x ค่าน้ำหนัก จำแนกรายคณะ</t>
  </si>
  <si>
    <t>เทคโนโลยี
การเกษตร</t>
  </si>
  <si>
    <t>ภาพรวมมหาวิทยาลัย</t>
  </si>
  <si>
    <t>1) บทความวิจัยหรือบทความวิชาการฉบับสมบูรณ์ที่ตีพิมพ์ในรายงานสืบเนื่องจากการประชุมวิชาการระดับชาติ (0.20)</t>
  </si>
  <si>
    <t>กลุ่มสาขา</t>
  </si>
  <si>
    <t>มนุษยศาสตร์และสังคมศาสตร์</t>
  </si>
  <si>
    <t>รวมทั้งหมดค่าน้ำหนัก</t>
  </si>
  <si>
    <t>รวมอาจารย์และนักวิจัยทั้งหมด</t>
  </si>
  <si>
    <t>หาผลงานว่าของใคร เพราะใน SAR ระบุมี ผลงานสร้างสรรค์ค่าน้ำหนัก 0.6 จำนวน 2 เรื่อง</t>
  </si>
  <si>
    <t>- กลุ่มสาชาวิชาวิทยาศาสตร์และเทคโนโลยี</t>
  </si>
  <si>
    <t>- กลุ่มสาขาวิชามนุษยศาสตร์และสังคมศาสตร์</t>
  </si>
  <si>
    <t>ผลลัพธ์
(ร้อยละ)</t>
  </si>
  <si>
    <t>รวมสถาบันวิจัย</t>
  </si>
  <si>
    <t>ภาพรวม</t>
  </si>
  <si>
    <t xml:space="preserve"> 6. มีผลการประเมินคุณภาพทุกหลักสูตรผ่านองค์ประกอบที่ 1 การกำกับมาตรฐาน</t>
  </si>
  <si>
    <t>คณะ/วิทยาลัย</t>
  </si>
  <si>
    <t>วันเดือนปีที่รับการประเมิน</t>
  </si>
  <si>
    <t>2.จำนวนคณะทั้งหมดในสถาบัน</t>
  </si>
  <si>
    <t>ตัวบ่งชี้</t>
  </si>
  <si>
    <t>1.ครุศาสตร์</t>
  </si>
  <si>
    <t>5.วิทยาการจัดการ</t>
  </si>
  <si>
    <t>องค์ประกอบที่ 1</t>
  </si>
  <si>
    <t>องค์ประกอบที่ 2</t>
  </si>
  <si>
    <t>องค์ประกอบที่ 3</t>
  </si>
  <si>
    <t>องค์ประกอบที่ 4</t>
  </si>
  <si>
    <t>องค์ประกอบที่ 5</t>
  </si>
  <si>
    <t>คะแนนเฉลี่ยรวม</t>
  </si>
  <si>
    <t>ปีการศึกษา/จำนวน</t>
  </si>
  <si>
    <t>สรุปเปรียบเทียบ ปี 57-58</t>
  </si>
  <si>
    <t>ป.เอก</t>
  </si>
  <si>
    <t>อ.ทั้งหมด</t>
  </si>
  <si>
    <t>ร้อยละ</t>
  </si>
  <si>
    <t>ผศ+/รศ.+ศ.</t>
  </si>
  <si>
    <t>1.จำนวนอาจารย์ประจำที่มีคุณวุฒิปริญญาเอก</t>
  </si>
  <si>
    <t>2.จำนวนอาจารย์ประจำทั้งหมด</t>
  </si>
  <si>
    <t>1.จำนวนอาจารย์ประจำที่ดำรงตำแหน่งทางวิชาการ</t>
  </si>
  <si>
    <t>ชื่อหลักสูตร/สาขาวิชา</t>
  </si>
  <si>
    <t>ผลการประเมินโดยคณะกรรมการ</t>
  </si>
  <si>
    <t>ร้อยละที่เปลี่ยนแปลง</t>
  </si>
  <si>
    <t>ปีการศึกษา 2557</t>
  </si>
  <si>
    <t>ข้อ</t>
  </si>
  <si>
    <t>องค์ 1</t>
  </si>
  <si>
    <t>องค์ 2</t>
  </si>
  <si>
    <t>องค์ 3</t>
  </si>
  <si>
    <t>องค์ 4</t>
  </si>
  <si>
    <t>องค์ 5</t>
  </si>
  <si>
    <t>องค์ 6</t>
  </si>
  <si>
    <t>คะแนนเฉลี่ยองค์ประกอบ 2-6</t>
  </si>
  <si>
    <t>1. คณะครุศาสตร์</t>
  </si>
  <si>
    <t>ระดับปริญญาตรี</t>
  </si>
  <si>
    <t xml:space="preserve">1. หลักสูตรครุศาสตรบัณฑิต (5 ปี) สาขาวิชาเคมีและวิทยาศาสตร์ทั่วไป </t>
  </si>
  <si>
    <t>/</t>
  </si>
  <si>
    <t>ผ่าน</t>
  </si>
  <si>
    <t xml:space="preserve">2. หลักสูตรครุศาสตรบัณฑิต (5 ปี) สาขาวิชาชีววิทยาและวิทยาศาสตร์ทั่วไป </t>
  </si>
  <si>
    <t xml:space="preserve">3. หลักสูตรครุศาสตรบัณฑิต (5 ปี) สาขาวิชาวิทยาศาสตร์ทั่วไป(หลักสูตรภาษาอังกฤษ) </t>
  </si>
  <si>
    <t xml:space="preserve">4. หลักสูตรครุศาสตรบัณฑิต (5 ปี) สาขาวิชาคณิตศาสตร์ </t>
  </si>
  <si>
    <t xml:space="preserve">5. หลักสูตรครุศาสตรบัณฑิต (5 ปี) สาขาวิชาคณิตศาสตร์ (หลักสูตรภาษาอังกฤษ)  </t>
  </si>
  <si>
    <t xml:space="preserve">6. หลักสูตรครุศาสตรบัณฑิต (5 ปี) สาขาวิชาการศึกษาปฐมวัย </t>
  </si>
  <si>
    <t xml:space="preserve">7. หลักสูตรครุศาสตรบัณฑิต (5 ปี) สาขาวิชาภาษาอังกฤษ </t>
  </si>
  <si>
    <t>8. หลักสูตรครุศาสตรบัณฑิต (5 ปี) สาขาวิชาภาษาไทย</t>
  </si>
  <si>
    <t>9. หลักสูตรครุศาสตรบัณฑิต (5 ปี) สาขาวิชาภาษาจีน</t>
  </si>
  <si>
    <t>ระดับบัณฑิตศึกษา</t>
  </si>
  <si>
    <t xml:space="preserve">10. หลักสูตรประกาศนียบัตรบัณฑิต สาขาวิชาชีพครู </t>
  </si>
  <si>
    <t>11. หลักสูตรครุศาสตรมหาบัณฑิต สาขาวิชาการบริหารการศึกษา</t>
  </si>
  <si>
    <t>12. หลักสูตรครุศาสตรมหาบัณฑิต สาขาวิชาหลักสูตรและการสอน</t>
  </si>
  <si>
    <t xml:space="preserve">13.หลักสูตรครุศาสตรดุษฎีบัณฑิต สาขาวิชาการบริหารการศึกษา </t>
  </si>
  <si>
    <t>14. หลักสูตรปรัชญาดุษฎีบัณฑิต สาขาวิชาหลักสูตรและการสอน</t>
  </si>
  <si>
    <t>คะแนนเฉลี่ยรวมคณะครุศาสตร์</t>
  </si>
  <si>
    <t xml:space="preserve">2. คณะวิทยาศาสตร์และเทคโนโลยี </t>
  </si>
  <si>
    <t>1. หลักสูตรวิทยาศาสตรบัณฑิต สาขาวิชาอาชีวอนามัยและความปลอดภัย</t>
  </si>
  <si>
    <t>2. หลักสูตรวิทยาศาสตรบัณฑิต สาขาวิชาเทคโนโลยีชีวภาพ</t>
  </si>
  <si>
    <t>3. หลักสูตรวิทยาศาสตรบัณฑิต สาขาวิชาวิทยาศาสตร์สิ่งแวดล้อม</t>
  </si>
  <si>
    <t>4. หลักสูตรวิทยาศาสตรบัณฑิต สาขาวิชาวิทยาการคอมพิวเตอร์</t>
  </si>
  <si>
    <t>5. หลักสูตรวิทยาศาสตรบัณฑิต สาขาวิชาเทคโนโลยีสารสนเทศ</t>
  </si>
  <si>
    <t>6. หลักสูตรวิทยาศาสตรบัณฑิต สาขาวิชาคหกรรมศาสตร์</t>
  </si>
  <si>
    <t>7. หลักสูตรวิทยาศาสตรบัณฑิต สาขาวิชาโภชนาการและการกำหนดอาหาร</t>
  </si>
  <si>
    <t>ไม่ประเมิน</t>
  </si>
  <si>
    <t xml:space="preserve">12. หลักสูตรวิทยาศาสตรมหาบัณฑิต สาขาวิชาวิทยาศาสตรศึกษา </t>
  </si>
  <si>
    <t xml:space="preserve">13. หลักสูตรวิทยาศาสตรดุษฎีบัณฑิต สาขาวิชาวิทยาศาสตรศึกษา </t>
  </si>
  <si>
    <t>คะแนนเฉลี่ยรวมคณะวิทยาศาสตร์และเทคโนโลยี</t>
  </si>
  <si>
    <t>3. คณะเทคโนโลยีอุตสาหกรรม</t>
  </si>
  <si>
    <t>1. หลักสูตรวิทยาศาสตรบัณฑิต สาขาวิชาอิเล็กทรอนิกส์สื่อสารและคอมพิวเตอร์</t>
  </si>
  <si>
    <t>2. หลักสูตรเทคโนโลยีบัณฑิต สาขาวิชาเทคโนโลยีเซรามิกส์</t>
  </si>
  <si>
    <t>3. หลักสูตรเทคโนโลยีบัณฑิต สาขาวิชาออกแบบผลิตภัณฑ์อุตสาหกรรม</t>
  </si>
  <si>
    <t>4. หลักสูตรเทคโนโลยีบัณฑิต สาขาวิชาเทคโนโลยีวิศวกรรม</t>
  </si>
  <si>
    <t>5. หลักสูตรวิศวกรรมศาสตรบัณฑิต สาขาวิชาวิศวกรรมอัตโนมัติ</t>
  </si>
  <si>
    <t>คะแนนเฉลี่ยรวมคณะเทคโนโลยีอุตสาหกรรม</t>
  </si>
  <si>
    <t>4. คณะเทคโนโลยีการเกษตร</t>
  </si>
  <si>
    <t>1. หลักสูตรวิทยาศาสตรบัณฑิต สาขาวิชาวิทยาศาสตร์และเทคโนโลยีการอาหาร</t>
  </si>
  <si>
    <t>2. หลักสูตรวิทยาศาสตรบัณฑิต สาขาวิชาเกษตรศาสตร์</t>
  </si>
  <si>
    <t xml:space="preserve">3. หลักสูตรวิทยาศาสตรมหาบัณฑิต สาขาวิชาเทคโนโลยีการจัดการเกษตร </t>
  </si>
  <si>
    <t>คะแนนเฉลี่ยรวมคณะเทคโนโลยีการเกษตร</t>
  </si>
  <si>
    <t>5. คณะวิทยาการจัดการ</t>
  </si>
  <si>
    <t>1. หลักสูตรศิลปศาสตรบัณฑิต สาขาวิชาการท่องเที่ยว</t>
  </si>
  <si>
    <t>2. หลักสูตรนิเทศศาสตรบัณฑิต สาขาวิชานิเทศศาสตร์</t>
  </si>
  <si>
    <t>3. หลักสูตรบริหารธุรกิจบัณฑิต สาขาวิชาการจัดการทั่วไป</t>
  </si>
  <si>
    <t>4. หลักสูตรบริหารธุรกิจบัณฑิต สาขาวิชาการบริหารธุรกิจ</t>
  </si>
  <si>
    <t>5. หลักสูตรบริหารธุรกิจบัณฑิต สาขาวิชาคอมพิวเตอร์ธุรกิจ</t>
  </si>
  <si>
    <t>6. หลักสูตรบริหารธุรกิจบัณฑิต สาขาวิชาการจัดการธุรกิจค้าปลีก</t>
  </si>
  <si>
    <t>7. หลักสูตรบริหารธุรกิจบัณฑิต สาขาวิชาการจัดการโลจิสติกส์และซัพพลายเชน</t>
  </si>
  <si>
    <t>8. หลักสูตรบัญชีบัณฑิต สาขาวิชาการบัญชี</t>
  </si>
  <si>
    <t>9. หลักสูตรเศรษฐศาสตรบัณฑิต สาขาวิชาเศรษฐศาสตร์</t>
  </si>
  <si>
    <t>ไม่ผ่าน</t>
  </si>
  <si>
    <t>คะแนนเฉลี่ยรวมของคณะวิทยาการจัดการ</t>
  </si>
  <si>
    <t>6. คณะมนุษยศาสตร์และสังคมศาสตร์</t>
  </si>
  <si>
    <t>1. หลักสูตรศิลปศาสตรบัณฑิต สาขาวิชาดนตรีสากล</t>
  </si>
  <si>
    <t>X</t>
  </si>
  <si>
    <t>2. หลักสูตรศิลปศาสตรบัณฑิต สาขาวิชาภาษาอังกฤษ</t>
  </si>
  <si>
    <t>3. หลักสูตรศิลปศาสตรบัณฑิต สาขาวิชาภาษาอังกฤษเพื่อการสื่อสารนานาชาติ (หลักสูตรนานาชาติ)</t>
  </si>
  <si>
    <t>4. หลักสูตรศิลปศาสตรบัณฑิต สาขาวิชาภาษาไทยเพื่อนวัตกรรมการสื่อสาร</t>
  </si>
  <si>
    <t>5. หลักสูตรศิลปศาสตรบัณฑิต สาขาวิชาสังคมศาสตร์เพื่อการพัฒนา</t>
  </si>
  <si>
    <t>6. หลักสูตรศิลปศาสตรบัณฑิต สาขาวิชาสารสนเทศศาสตร์</t>
  </si>
  <si>
    <t>7. หลักสูตรศิลปศาสตรบัณฑิต สาขาวิชาจิตวิทยา</t>
  </si>
  <si>
    <t>8. หลักสูตรศิลปศาสตรบัณฑิต สาขาวิชาการพัฒนาชุมชน</t>
  </si>
  <si>
    <t>9. หลักสูตรศิลปกรรมศาสตรบัณฑิต สาขาวิชาทัศนศิลป์</t>
  </si>
  <si>
    <t>10. หลักสูตรรัฐประศาสนศาสตรบัณฑิต สาขาวิชารัฐประศาสนศาสตร์</t>
  </si>
  <si>
    <t>11. หลักสูตรนิติศาสตรบัณฑิต สาขาวิชานิติศาสตร์</t>
  </si>
  <si>
    <t>คะแนนเฉลี่ยรวมคณะมนุษยศาสตร์และสังคมศาสตร์</t>
  </si>
  <si>
    <t>7. วิทยาลัยนวัตกรรมการจัดการ</t>
  </si>
  <si>
    <t xml:space="preserve">ผลรวมของค่าคะแนนประเมินของทุกหลักสูตร </t>
  </si>
  <si>
    <t>จำนวนหลักสูตรทั้งหมด</t>
  </si>
  <si>
    <t>คะแนนที่ได้ (ภาพรวมระดับมหาวิทยาลัย)</t>
  </si>
  <si>
    <t>วิทย์</t>
  </si>
  <si>
    <t>นน</t>
  </si>
  <si>
    <t>ชิ้น</t>
  </si>
  <si>
    <t>เกษตร</t>
  </si>
  <si>
    <t>อุต</t>
  </si>
  <si>
    <t>มนุษย์</t>
  </si>
  <si>
    <t>วจก.</t>
  </si>
  <si>
    <t>นวัตกรรม</t>
  </si>
  <si>
    <t>วิจัย</t>
  </si>
  <si>
    <t>รวมจำนวนงานทั้งหมด</t>
  </si>
  <si>
    <t>รวมค่าถ่วงน้ำหนักทั้งหมด</t>
  </si>
  <si>
    <t>ครุ</t>
  </si>
  <si>
    <t>ตัวบ่งชี้ที่ 1.2 อาจารย์ประจำที่มีคุณวุฒิปริญญาเอก</t>
  </si>
  <si>
    <t>ตัวบ่งชี้ที่ 1.1 ผลการบริหารจัดการหลักสูตรโดยรวม</t>
  </si>
  <si>
    <t xml:space="preserve"> ตัวบ่งชี่ที่ 1.3 อาจารย์ประจำที่ดำรงตำแหน่งทางวิชาการ</t>
  </si>
  <si>
    <t>ตัวบ่งชี้ที่ 2.2 เงินสนับสนุนงานวิจัยและงานสร้างสรรค์</t>
  </si>
  <si>
    <r>
      <t>ประชุมระดับชาติ 1</t>
    </r>
    <r>
      <rPr>
        <vertAlign val="superscript"/>
        <sz val="14"/>
        <color theme="1"/>
        <rFont val="TH Niramit AS"/>
      </rPr>
      <t xml:space="preserve">st </t>
    </r>
    <r>
      <rPr>
        <sz val="14"/>
        <color theme="1"/>
        <rFont val="TH Niramit AS"/>
      </rPr>
      <t xml:space="preserve"> Asean Comference on Humanities and Social Sciences 28-30 May 2015,Vientiane,Lao PDR.</t>
    </r>
  </si>
  <si>
    <r>
      <t xml:space="preserve">วิทยาลัยนวัตกรรมและการจัดการ
</t>
    </r>
    <r>
      <rPr>
        <sz val="14"/>
        <color theme="1"/>
        <rFont val="TH Niramit AS"/>
      </rPr>
      <t>อ.พลเอก ดร.เกษมชาติ นเรศเสนีย์</t>
    </r>
  </si>
  <si>
    <r>
      <t xml:space="preserve">มาตรฐานฝีมือแรงงานที่มีผลต่อคุณภาพชีวิตการทำงานของแรงงานพม่าในประเทศไทย: กรณีศึกษา แรงงานพม่าในบริษัทรับเหมาก่อสร้าง  จังหวัดปทุมธานี </t>
    </r>
    <r>
      <rPr>
        <b/>
        <sz val="14"/>
        <color theme="1"/>
        <rFont val="TH Niramit AS"/>
      </rPr>
      <t xml:space="preserve">แหล่งที่เผยแพร่ </t>
    </r>
    <r>
      <rPr>
        <sz val="14"/>
        <color theme="1"/>
        <rFont val="TH Niramit AS"/>
      </rPr>
      <t>การประชุมระดับชาติ ม.เทคโนโลยีราชมงคลล้านนา เชียงราย ประจำปี 2558  ระหว่างวันที่ 23-24 มี.ค. 58</t>
    </r>
  </si>
  <si>
    <r>
      <t>การบริหารความเสี่ยงที่ส่งผลต่อประสิทธิภาพต่อการเรียนการสอนในสถานศึกษาระดับชั้นอนุบาล กรณีศึกษา โรงเรียน อาร์ซีการประชุมวิชาการ การนำเสนอผลงานระดับชาติมหาวิทยาลัยราชภัฏภูเก็ต ภายใต้แนวคิด “การพัฒนาการวิจัย รากฐานสำคัญของไทยก้าวไกลสู่เวทีสากล วันที่ 17 – 18 ธ.ค. 58  ณ ศูนย์ประชุมมหาวิทยาลัยราชภัฏภูเก็ต</t>
    </r>
    <r>
      <rPr>
        <b/>
        <sz val="14"/>
        <color theme="1"/>
        <rFont val="TH Niramit AS"/>
      </rPr>
      <t xml:space="preserve"> </t>
    </r>
  </si>
  <si>
    <r>
      <t xml:space="preserve">The Efficiency of </t>
    </r>
    <r>
      <rPr>
        <i/>
        <sz val="14"/>
        <color theme="1"/>
        <rFont val="TH Niramit AS"/>
      </rPr>
      <t>Ocimum Sanctum</t>
    </r>
    <r>
      <rPr>
        <sz val="14"/>
        <color theme="1"/>
        <rFont val="TH Niramit AS"/>
      </rPr>
      <t xml:space="preserve"> Linn Leafs, </t>
    </r>
    <r>
      <rPr>
        <i/>
        <sz val="14"/>
        <color theme="1"/>
        <rFont val="TH Niramit AS"/>
      </rPr>
      <t>Syzygium Aromaticum</t>
    </r>
    <r>
      <rPr>
        <sz val="14"/>
        <color theme="1"/>
        <rFont val="TH Niramit AS"/>
      </rPr>
      <t xml:space="preserve"> (L.) Merr.e Perry Flowers and Piper Betel Leafs in Putting Out Ants Seoul International Conference on Engineering and Applied Science 2015 8-10 January 2015 Page 465-472</t>
    </r>
  </si>
  <si>
    <r>
      <t>Antioxidant Activity and Total Phenolics from Ardisia Elliptica Thunb. Cured Extracts. 2</t>
    </r>
    <r>
      <rPr>
        <vertAlign val="superscript"/>
        <sz val="14"/>
        <color theme="1"/>
        <rFont val="TH Niramit AS"/>
      </rPr>
      <t>nd</t>
    </r>
    <r>
      <rPr>
        <sz val="14"/>
        <color theme="1"/>
        <rFont val="TH Niramit AS"/>
      </rPr>
      <t xml:space="preserve">  International Conference on Engineering and Natural Science 22-24 July 2015 Tokyo. Page 436-443</t>
    </r>
  </si>
  <si>
    <r>
      <t>Attitude towards solid waste management behavior among the merchants in the central market of agriculture product, Thailand. Proceeding of 34</t>
    </r>
    <r>
      <rPr>
        <vertAlign val="superscript"/>
        <sz val="14"/>
        <color theme="1"/>
        <rFont val="TH Niramit AS"/>
      </rPr>
      <t>th</t>
    </r>
    <r>
      <rPr>
        <sz val="14"/>
        <color theme="1"/>
        <rFont val="TH Niramit AS"/>
      </rPr>
      <t xml:space="preserve"> The IIER International Conference, Singapore, 19</t>
    </r>
    <r>
      <rPr>
        <vertAlign val="superscript"/>
        <sz val="14"/>
        <color theme="1"/>
        <rFont val="TH Niramit AS"/>
      </rPr>
      <t>th</t>
    </r>
    <r>
      <rPr>
        <sz val="14"/>
        <color theme="1"/>
        <rFont val="TH Niramit AS"/>
      </rPr>
      <t xml:space="preserve"> August 2015 pp. 69-72</t>
    </r>
  </si>
  <si>
    <r>
      <t>The Study of Competency of Instructors toward Teaching and Learning in the 21</t>
    </r>
    <r>
      <rPr>
        <vertAlign val="superscript"/>
        <sz val="14"/>
        <color theme="1"/>
        <rFont val="TH Niramit AS"/>
      </rPr>
      <t>st</t>
    </r>
    <r>
      <rPr>
        <sz val="14"/>
        <color theme="1"/>
        <rFont val="TH Niramit AS"/>
      </rPr>
      <t xml:space="preserve"> Century. The Twelfth International Conference on eLearning for Knowledge-Based Society, 11-12 December 2015, Thailand. Page 34.1-34.6</t>
    </r>
  </si>
  <si>
    <r>
      <t xml:space="preserve">Determination of the Content of Hazardous Heavy Metals on </t>
    </r>
    <r>
      <rPr>
        <i/>
        <sz val="14"/>
        <color theme="1"/>
        <rFont val="TH Niramit AS"/>
      </rPr>
      <t>Lycopersicon Esculentum</t>
    </r>
    <r>
      <rPr>
        <sz val="14"/>
        <color theme="1"/>
        <rFont val="TH Niramit AS"/>
      </rPr>
      <t xml:space="preserve"> Mill. Grown around a Contaminated Area. International Journal of Environmental Science and Development 2015, March  , Singapore. Page 170-172.</t>
    </r>
  </si>
  <si>
    <r>
      <t>Factors Affecting Consumer Purchasing Behavior of Toxic-Free Vegetables in Muang District, Samutprakarn Province. 2</t>
    </r>
    <r>
      <rPr>
        <vertAlign val="superscript"/>
        <sz val="14"/>
        <color theme="1"/>
        <rFont val="TH Niramit AS"/>
      </rPr>
      <t>nd</t>
    </r>
    <r>
      <rPr>
        <sz val="14"/>
        <color theme="1"/>
        <rFont val="TH Niramit AS"/>
      </rPr>
      <t xml:space="preserve"> International Symposium on Agricultural Technology (ISAT2015) July 1-3, 2015 A-One The Royal Cruise Hotel Pattay, Thailand. Page 377-380.</t>
    </r>
  </si>
  <si>
    <r>
      <t>Financial Cost and Benefit Analysis of Commercial Orchid Farming in Krathumban District, Samutsakorn Province, Thailand. 2</t>
    </r>
    <r>
      <rPr>
        <vertAlign val="superscript"/>
        <sz val="14"/>
        <color theme="1"/>
        <rFont val="TH Niramit AS"/>
      </rPr>
      <t>nd</t>
    </r>
    <r>
      <rPr>
        <sz val="14"/>
        <color theme="1"/>
        <rFont val="TH Niramit AS"/>
      </rPr>
      <t xml:space="preserve"> International Symposium on Agricultural Technology (ISAT2015) July 1-3, 2015 A-One The Royal Cruise Hotel Pattaya, Thailand. Page 381-384. </t>
    </r>
  </si>
  <si>
    <r>
      <t>Existence and Algorithm for Hierarchical Optimization Problems. Proceeding of the 15</t>
    </r>
    <r>
      <rPr>
        <vertAlign val="superscript"/>
        <sz val="14"/>
        <color theme="1"/>
        <rFont val="TH Niramit AS"/>
      </rPr>
      <t>th</t>
    </r>
    <r>
      <rPr>
        <sz val="14"/>
        <color theme="1"/>
        <rFont val="TH Niramit AS"/>
      </rPr>
      <t xml:space="preserve"> International Conference on Computational and Mathematical Methods in Science and Engineering, (CMMSE 2015) 6-10 July 2015 page. 1122-1268</t>
    </r>
  </si>
  <si>
    <r>
      <t>Alfa-cut Methodology for Matrix Games with Payoffs Trapezoidal Intuitionistic Fuzzy Number. Proceeding of the 15</t>
    </r>
    <r>
      <rPr>
        <vertAlign val="superscript"/>
        <sz val="14"/>
        <color theme="1"/>
        <rFont val="TH Niramit AS"/>
      </rPr>
      <t>th</t>
    </r>
    <r>
      <rPr>
        <sz val="14"/>
        <color theme="1"/>
        <rFont val="TH Niramit AS"/>
      </rPr>
      <t xml:space="preserve"> International Conference on Computational and Mathematical Methods in Science and Engineering, (CMMSE 2015) 6-10 July 2015</t>
    </r>
  </si>
  <si>
    <r>
      <t>งาน INTCESS15 – 2</t>
    </r>
    <r>
      <rPr>
        <vertAlign val="superscript"/>
        <sz val="14"/>
        <color theme="1"/>
        <rFont val="TH Niramit AS"/>
      </rPr>
      <t xml:space="preserve">nd </t>
    </r>
    <r>
      <rPr>
        <sz val="14"/>
        <color theme="1"/>
        <rFont val="TH Niramit AS"/>
      </rPr>
      <t>International Conference on Education and Social Sciences ระหว่างวันที่ 1-8 กุมภาพันธ์ 2558 ประเทศตุรกี</t>
    </r>
  </si>
  <si>
    <r>
      <t xml:space="preserve">การศึกษาการทนต่อยาปฏิชีวนะและยาฆ่าแมลงของ </t>
    </r>
    <r>
      <rPr>
        <i/>
        <sz val="14"/>
        <color theme="1"/>
        <rFont val="TH Niramit AS"/>
      </rPr>
      <t>Sinorhizobium meliloti.</t>
    </r>
    <r>
      <rPr>
        <sz val="14"/>
        <color theme="1"/>
        <rFont val="TH Niramit AS"/>
      </rPr>
      <t xml:space="preserve"> วารสารวิจัยและพัฒนา วไลยอลงกรณ์ ในพระบรมราชูปถัมภ์ ปีที่ 10 ฉบับที่ 2 (เดือนพฤษภาคม- เดือนสิงหาคม พ.ศ. 2558) หน้า 107-114</t>
    </r>
  </si>
  <si>
    <r>
      <t xml:space="preserve">การจำแนกพันธ์มะม่วงในประเทศไทยจากลำดับดีเอ็นเอของยีน </t>
    </r>
    <r>
      <rPr>
        <i/>
        <sz val="14"/>
        <color theme="1"/>
        <rFont val="TH Niramit AS"/>
      </rPr>
      <t>rpo</t>
    </r>
    <r>
      <rPr>
        <sz val="14"/>
        <color theme="1"/>
        <rFont val="TH Niramit AS"/>
      </rPr>
      <t xml:space="preserve">C1 และ </t>
    </r>
    <r>
      <rPr>
        <i/>
        <sz val="14"/>
        <color theme="1"/>
        <rFont val="TH Niramit AS"/>
      </rPr>
      <t>rbc</t>
    </r>
    <r>
      <rPr>
        <sz val="14"/>
        <color theme="1"/>
        <rFont val="TH Niramit AS"/>
      </rPr>
      <t>L. วารสารวิทยาศาสตร์และเทคโนโลยี  ปีที่ 23 ฉบับที่ 6 (ฉบับพิเศษ) 2558 หน้า 984-993</t>
    </r>
  </si>
  <si>
    <r>
      <t xml:space="preserve">การวิเคราะห์ความสัมพันธ์ทางพันธุกรรมของกล้วยไม้สกุลแวนด้าหมู่เข็มโดยใช้ลำดับนิวคลีโอไทด์ของยีน </t>
    </r>
    <r>
      <rPr>
        <i/>
        <sz val="14"/>
        <color theme="1"/>
        <rFont val="TH Niramit AS"/>
      </rPr>
      <t>rbc</t>
    </r>
    <r>
      <rPr>
        <sz val="14"/>
        <color theme="1"/>
        <rFont val="TH Niramit AS"/>
      </rPr>
      <t xml:space="preserve">L และชิ้นดีเอ็นเอที่อยู่ระหว่างยีน </t>
    </r>
    <r>
      <rPr>
        <i/>
        <sz val="14"/>
        <color theme="1"/>
        <rFont val="TH Niramit AS"/>
      </rPr>
      <t>trn</t>
    </r>
    <r>
      <rPr>
        <sz val="14"/>
        <color theme="1"/>
        <rFont val="TH Niramit AS"/>
      </rPr>
      <t xml:space="preserve">H กับ </t>
    </r>
    <r>
      <rPr>
        <i/>
        <sz val="14"/>
        <color theme="1"/>
        <rFont val="TH Niramit AS"/>
      </rPr>
      <t>psb</t>
    </r>
    <r>
      <rPr>
        <sz val="14"/>
        <color theme="1"/>
        <rFont val="TH Niramit AS"/>
      </rPr>
      <t xml:space="preserve">A. วารสารวิทยาศาสตร์และเทคโนโลยี  ปีที่ 23 ฉบับที่ 6 (ฉบับพิเศษ) 2558 หน้า 995-1004 </t>
    </r>
  </si>
  <si>
    <t>ตัวบ่งชี้ที่ 2.3 ผลงานทางวิชาการของอาจารย์ประจำและนักวิจัย</t>
  </si>
  <si>
    <t>ตัวบ่งชี้ที่ 5.2 ผลการบริหารงานของคณะ</t>
  </si>
  <si>
    <t>4.เทคโนโลยีอุตสาหกรรม</t>
  </si>
  <si>
    <t>2.มนุษยศาสตร์และสังคมศาสตร์</t>
  </si>
  <si>
    <t>3.วิทยาศาสตร์และเทคโนโลยี</t>
  </si>
  <si>
    <t>6.เทคโนโลยี
การเกษตร</t>
  </si>
  <si>
    <t>มนุษ</t>
  </si>
  <si>
    <t>จำนวนวนอาจารรย์และนักวิจัย</t>
  </si>
  <si>
    <t>เงินสนับสนุนวิจัยภายใน</t>
  </si>
  <si>
    <t>เงินสนับสนุนวิจัยภายนอก</t>
  </si>
  <si>
    <t>รวมเงินสนับสนุนทั้งหมด</t>
  </si>
  <si>
    <t>สัดส่วนจำนวนเงินต่ออาจารย์</t>
  </si>
  <si>
    <t>รวมทั้งหมด</t>
  </si>
  <si>
    <t>ข้อมูล </t>
  </si>
  <si>
    <t>กลุ่มสาขาวิชา</t>
  </si>
  <si>
    <t>มนุษย์ศาสตร์และสังคมศาสตร์</t>
  </si>
  <si>
    <t>จำนวนวนอาจารย์และนักวิจัย</t>
  </si>
  <si>
    <t>ปีการศึกษา 2559</t>
  </si>
  <si>
    <t>คณะสาธารณสุขศาสตร์</t>
  </si>
  <si>
    <t>7.สาธารณสุขศาสตร์</t>
  </si>
  <si>
    <t>ผลการประเมินคุณภาพการศึกษาภายใน ระดับคณะ ประจำปีการศึกษา 2559</t>
  </si>
  <si>
    <t>ดี</t>
  </si>
  <si>
    <t>8.หลักสูตรวิทยาศาสตรบัณฑิต สาขาวิชาเคมี</t>
  </si>
  <si>
    <t>9.หลักสูตรวิทยาศาสตรบัณฑิต สาขาวิชาคณิตศาสตร์ประยุกต์</t>
  </si>
  <si>
    <t>3. หลักสูตรวิทยาศาสตรบัณฑิต สาขาวิชาเทคโนโลยีภูมิทัศน์</t>
  </si>
  <si>
    <t>1.หลักสูตรศิลปศาสตรบัณฑิต สาขาวิชาการบริการในอุตสาหกรรมการบิน</t>
  </si>
  <si>
    <t>2.หลักสูตรบริหารธุรกิจบัณฑิต สาขาวิชาการจัดการธุรกิจการบิน (หลักสูตรนานาชาติ)</t>
  </si>
  <si>
    <t>3.หลักสูตรศิลปศาสตรบัณฑิต สาขาวิชาการจัดการการบริการและการโรงแรม (หลักสูตรภาษาอังกฤษ)</t>
  </si>
  <si>
    <t>4.หลักสูตรบริหารธุรกิจบัณฑิต สาขาวิชาการจัดการธุรกิจการบริการผู้สูงอายุ(หลักสูตรสองภาษา)</t>
  </si>
  <si>
    <t>5.หลักสูตรบริหารธุรกิจมหาบัณฑิต สาขาวิชาบริหารธุรกิจ</t>
  </si>
  <si>
    <t>6.หลักสูตรรัฐประศาสนศาสตรมหาบัณฑิต สาขาวิชารัฐประศาสนศาสตร์</t>
  </si>
  <si>
    <t>7.หลักสูตรรัฐประศาสนศาสตรดุษฎีบัณฑิต สาขาวิชารัฐประศาสนศาสตร์</t>
  </si>
  <si>
    <t>8.หลักสูตรบริหารธุรกิจดุษฎีบัณฑิต สาขาวิชาบริหารธุรกิจ</t>
  </si>
  <si>
    <t>9.หลักสูตรปรัชญาดุษฎีบัณฑิต สาขาวิชาสิ่งแวดล้อมศึกษา</t>
  </si>
  <si>
    <t>8.คณะสาธารณสุขศาสตร์</t>
  </si>
  <si>
    <t>1.หลักสูตรสาธารณสุขศาสตร์ สาขาวิชาสาธารณสุขศาสตร์</t>
  </si>
  <si>
    <t>2.หลักสูตรสาธารณสุขศาสตร์ สาขาวิชาการจัดการสถานพยาบาล</t>
  </si>
  <si>
    <t>คะแนนเฉลี่ยรวมคณะสาธารณสุขศาสตร์</t>
  </si>
  <si>
    <t>สาธารณสุขศาสตร์</t>
  </si>
  <si>
    <t>สาธาณสุขศาสตร์</t>
  </si>
  <si>
    <t>ปีการศึกษา 2559 /จำนวน</t>
  </si>
  <si>
    <t>8.วิทยาลัยนวัตกรรมการจัดการ</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</si>
</sst>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87" formatCode="0\ \ข\้\อ"/>
    <numFmt numFmtId="188" formatCode="#,##0_ ;\-#,##0\ "/>
    <numFmt numFmtId="189" formatCode="[$-1010409]#,##0.00;\-#,##0.00"/>
    <numFmt numFmtId="190" formatCode="\ร\้\อ\ย\ล\ะ\ 0.00"/>
    <numFmt numFmtId="191" formatCode="\เ\ฉ\ล\ี\่\ย\ 0.00"/>
    <numFmt numFmtId="192" formatCode="_-* #,##0_-;\-* #,##0_-;_-* &quot;-&quot;??_-;_-@_-"/>
  </numFmts>
  <fonts count="81" x14ac:knownFonts="1">
    <font>
      <sz val="16"/>
      <color theme="1"/>
      <name val="Tahoma"/>
      <family val="2"/>
      <charset val="222"/>
      <scheme val="minor"/>
    </font>
    <font>
      <sz val="11"/>
      <color theme="1"/>
      <name val="Tahoma"/>
      <family val="2"/>
      <charset val="222"/>
      <scheme val="minor"/>
    </font>
    <font>
      <sz val="11"/>
      <color theme="1"/>
      <name val="Tahoma"/>
      <family val="2"/>
      <charset val="222"/>
      <scheme val="minor"/>
    </font>
    <font>
      <sz val="11"/>
      <color theme="1"/>
      <name val="Tahoma"/>
      <family val="2"/>
      <charset val="222"/>
      <scheme val="minor"/>
    </font>
    <font>
      <sz val="11"/>
      <color theme="1"/>
      <name val="Tahoma"/>
      <family val="2"/>
      <charset val="222"/>
      <scheme val="minor"/>
    </font>
    <font>
      <sz val="11"/>
      <color theme="1"/>
      <name val="Tahoma"/>
      <family val="2"/>
      <charset val="222"/>
      <scheme val="minor"/>
    </font>
    <font>
      <sz val="10"/>
      <name val="Arial"/>
      <family val="2"/>
    </font>
    <font>
      <sz val="16"/>
      <name val="Angsana New"/>
      <family val="1"/>
    </font>
    <font>
      <sz val="20"/>
      <name val="Angsana New"/>
      <family val="1"/>
    </font>
    <font>
      <sz val="14"/>
      <name val="Angsana New"/>
      <family val="1"/>
    </font>
    <font>
      <sz val="11"/>
      <color theme="1"/>
      <name val="Tahoma"/>
      <family val="2"/>
      <scheme val="minor"/>
    </font>
    <font>
      <u/>
      <sz val="16"/>
      <color theme="10"/>
      <name val="Tahoma"/>
      <family val="2"/>
      <charset val="222"/>
      <scheme val="minor"/>
    </font>
    <font>
      <b/>
      <sz val="28"/>
      <color rgb="FF0000FF"/>
      <name val="Angsana New"/>
      <family val="1"/>
    </font>
    <font>
      <sz val="16"/>
      <color theme="1"/>
      <name val="Angsana New"/>
      <family val="1"/>
    </font>
    <font>
      <b/>
      <sz val="20"/>
      <color theme="0"/>
      <name val="Angsana New"/>
      <family val="1"/>
    </font>
    <font>
      <b/>
      <sz val="22"/>
      <name val="Angsana New"/>
      <family val="1"/>
    </font>
    <font>
      <b/>
      <sz val="16"/>
      <color theme="1"/>
      <name val="Angsana New"/>
      <family val="1"/>
    </font>
    <font>
      <b/>
      <sz val="40"/>
      <color rgb="FF0000FF"/>
      <name val="Angsana New"/>
      <family val="1"/>
    </font>
    <font>
      <u/>
      <sz val="25"/>
      <name val="Angsana New"/>
      <family val="1"/>
    </font>
    <font>
      <b/>
      <sz val="14"/>
      <color theme="1"/>
      <name val="Angsana New"/>
      <family val="1"/>
    </font>
    <font>
      <b/>
      <sz val="20"/>
      <color theme="1"/>
      <name val="Angsana New"/>
      <family val="1"/>
    </font>
    <font>
      <b/>
      <sz val="23"/>
      <color theme="8" tint="-0.499984740745262"/>
      <name val="Angsana New"/>
      <family val="1"/>
    </font>
    <font>
      <b/>
      <u/>
      <sz val="25"/>
      <name val="Angsana New"/>
      <family val="1"/>
    </font>
    <font>
      <sz val="14"/>
      <color theme="1"/>
      <name val="Angsana New"/>
      <family val="1"/>
    </font>
    <font>
      <b/>
      <sz val="16"/>
      <color rgb="FF0000FF"/>
      <name val="Angsana New"/>
      <family val="1"/>
    </font>
    <font>
      <b/>
      <sz val="14"/>
      <color theme="9" tint="-0.499984740745262"/>
      <name val="Angsana New"/>
      <family val="1"/>
    </font>
    <font>
      <sz val="14"/>
      <color theme="9" tint="-0.499984740745262"/>
      <name val="Angsana New"/>
      <family val="1"/>
    </font>
    <font>
      <b/>
      <sz val="15"/>
      <color rgb="FF0000FF"/>
      <name val="Angsana New"/>
      <family val="1"/>
    </font>
    <font>
      <sz val="16"/>
      <color rgb="FF0000FF"/>
      <name val="Angsana New"/>
      <family val="1"/>
    </font>
    <font>
      <sz val="16"/>
      <color theme="0"/>
      <name val="Angsana New"/>
      <family val="1"/>
    </font>
    <font>
      <b/>
      <sz val="16"/>
      <color rgb="FFFF0000"/>
      <name val="Angsana New"/>
      <family val="1"/>
    </font>
    <font>
      <sz val="16"/>
      <color rgb="FFFF0000"/>
      <name val="Angsana New"/>
      <family val="1"/>
    </font>
    <font>
      <b/>
      <sz val="16"/>
      <color theme="0"/>
      <name val="Angsana New"/>
      <family val="1"/>
    </font>
    <font>
      <b/>
      <sz val="26"/>
      <color theme="1"/>
      <name val="Angsana New"/>
      <family val="1"/>
    </font>
    <font>
      <b/>
      <sz val="24"/>
      <name val="Angsana New"/>
      <family val="1"/>
    </font>
    <font>
      <b/>
      <sz val="16"/>
      <color indexed="8"/>
      <name val="Angsana New"/>
      <family val="1"/>
    </font>
    <font>
      <sz val="16"/>
      <color indexed="8"/>
      <name val="Angsana New"/>
      <family val="1"/>
    </font>
    <font>
      <b/>
      <sz val="16"/>
      <name val="Angsana New"/>
      <family val="1"/>
    </font>
    <font>
      <sz val="10"/>
      <name val="Angsana New"/>
      <family val="1"/>
    </font>
    <font>
      <b/>
      <sz val="14"/>
      <name val="Angsana New"/>
      <family val="1"/>
    </font>
    <font>
      <sz val="16"/>
      <color theme="1"/>
      <name val="Tahoma"/>
      <family val="2"/>
      <charset val="222"/>
      <scheme val="minor"/>
    </font>
    <font>
      <b/>
      <sz val="14"/>
      <color rgb="FF000000"/>
      <name val="TH SarabunPSK"/>
      <family val="2"/>
    </font>
    <font>
      <sz val="14"/>
      <color rgb="FF000000"/>
      <name val="TH SarabunPSK"/>
      <family val="2"/>
    </font>
    <font>
      <sz val="14"/>
      <color theme="1"/>
      <name val="TH SarabunPSK"/>
      <family val="2"/>
    </font>
    <font>
      <b/>
      <sz val="14"/>
      <color theme="1"/>
      <name val="TH SarabunPSK"/>
      <family val="2"/>
    </font>
    <font>
      <sz val="16"/>
      <color theme="1"/>
      <name val="TH Niramit AS"/>
    </font>
    <font>
      <b/>
      <sz val="13"/>
      <color theme="1"/>
      <name val="TH Niramit AS"/>
    </font>
    <font>
      <sz val="14"/>
      <color theme="1"/>
      <name val="TH Niramit AS"/>
    </font>
    <font>
      <sz val="11"/>
      <color theme="1"/>
      <name val="TH Niramit AS"/>
    </font>
    <font>
      <sz val="18"/>
      <color theme="1"/>
      <name val="TH SarabunPSK"/>
      <family val="2"/>
    </font>
    <font>
      <b/>
      <sz val="14"/>
      <color theme="1"/>
      <name val="TH Niramit AS"/>
    </font>
    <font>
      <b/>
      <sz val="18"/>
      <color theme="1"/>
      <name val="TH Niramit AS"/>
    </font>
    <font>
      <sz val="14"/>
      <name val="TH Niramit AS"/>
    </font>
    <font>
      <sz val="14"/>
      <color rgb="FFFF0000"/>
      <name val="TH Niramit AS"/>
    </font>
    <font>
      <sz val="10"/>
      <name val="TH Niramit AS"/>
    </font>
    <font>
      <sz val="11"/>
      <color rgb="FFFF0000"/>
      <name val="TH Niramit AS"/>
    </font>
    <font>
      <b/>
      <sz val="16"/>
      <color theme="1"/>
      <name val="TH Niramit AS"/>
    </font>
    <font>
      <b/>
      <sz val="14"/>
      <color rgb="FF000000"/>
      <name val="TH Niramit AS"/>
    </font>
    <font>
      <b/>
      <sz val="12"/>
      <color rgb="FF000000"/>
      <name val="TH Niramit AS"/>
    </font>
    <font>
      <sz val="12"/>
      <color rgb="FF000000"/>
      <name val="TH Niramit AS"/>
    </font>
    <font>
      <i/>
      <sz val="14"/>
      <color rgb="FF0000FF"/>
      <name val="TH Niramit AS"/>
    </font>
    <font>
      <b/>
      <sz val="15"/>
      <color rgb="FF000000"/>
      <name val="TH Niramit AS"/>
    </font>
    <font>
      <sz val="15"/>
      <color rgb="FF000000"/>
      <name val="TH Niramit AS"/>
    </font>
    <font>
      <i/>
      <sz val="15"/>
      <color rgb="FF0000FF"/>
      <name val="TH Niramit AS"/>
    </font>
    <font>
      <b/>
      <sz val="14"/>
      <color rgb="FF0000FF"/>
      <name val="TH Niramit AS"/>
    </font>
    <font>
      <sz val="14"/>
      <color rgb="FF0000FF"/>
      <name val="TH Niramit AS"/>
    </font>
    <font>
      <vertAlign val="superscript"/>
      <sz val="14"/>
      <color theme="1"/>
      <name val="TH Niramit AS"/>
    </font>
    <font>
      <i/>
      <sz val="14"/>
      <color theme="1"/>
      <name val="TH Niramit AS"/>
    </font>
    <font>
      <b/>
      <sz val="15"/>
      <color theme="1"/>
      <name val="TH Niramit AS"/>
    </font>
    <font>
      <sz val="15"/>
      <color theme="1"/>
      <name val="TH Niramit AS"/>
    </font>
    <font>
      <b/>
      <sz val="10"/>
      <color theme="1"/>
      <name val="TH Niramit AS"/>
    </font>
    <font>
      <b/>
      <sz val="12"/>
      <color theme="1"/>
      <name val="TH Niramit AS"/>
    </font>
    <font>
      <sz val="16"/>
      <color rgb="FFFF0000"/>
      <name val="TH Niramit AS"/>
    </font>
    <font>
      <b/>
      <sz val="16"/>
      <color rgb="FFFF0000"/>
      <name val="TH Niramit AS"/>
    </font>
    <font>
      <b/>
      <i/>
      <sz val="14"/>
      <color rgb="FF0000FF"/>
      <name val="TH Niramit AS"/>
    </font>
    <font>
      <sz val="16"/>
      <color rgb="FFFF0000"/>
      <name val="Tahoma"/>
      <family val="2"/>
      <charset val="222"/>
      <scheme val="minor"/>
    </font>
    <font>
      <b/>
      <sz val="16"/>
      <name val="TH Niramit AS"/>
    </font>
    <font>
      <sz val="14"/>
      <color rgb="FF000000"/>
      <name val="TH Niramit AS"/>
    </font>
    <font>
      <sz val="12"/>
      <color theme="1"/>
      <name val="TH Niramit AS"/>
    </font>
    <font>
      <i/>
      <sz val="12"/>
      <color rgb="FF0000FF"/>
      <name val="TH Niramit AS"/>
    </font>
    <font>
      <i/>
      <sz val="12"/>
      <color rgb="FF000000"/>
      <name val="TH Niramit AS"/>
    </font>
  </fonts>
  <fills count="3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CC"/>
        <bgColor indexed="64"/>
      </patternFill>
    </fill>
    <fill>
      <patternFill patternType="solid">
        <fgColor theme="5" tint="0.79998168889431442"/>
        <bgColor indexed="64"/>
      </patternFill>
    </fill>
    <fill>
      <patternFill patternType="solid">
        <fgColor theme="9" tint="-0.499984740745262"/>
        <bgColor indexed="64"/>
      </patternFill>
    </fill>
    <fill>
      <patternFill patternType="solid">
        <fgColor rgb="FFFFD5FF"/>
        <bgColor indexed="64"/>
      </patternFill>
    </fill>
    <fill>
      <patternFill patternType="solid">
        <fgColor theme="0" tint="-0.14999847407452621"/>
        <bgColor indexed="64"/>
      </patternFill>
    </fill>
    <fill>
      <patternFill patternType="solid">
        <fgColor rgb="FFFFE1FF"/>
        <bgColor indexed="64"/>
      </patternFill>
    </fill>
    <fill>
      <patternFill patternType="solid">
        <fgColor rgb="FFFFFFFF"/>
        <bgColor indexed="64"/>
      </patternFill>
    </fill>
    <fill>
      <patternFill patternType="solid">
        <fgColor rgb="FFFFFFCC"/>
        <bgColor indexed="64"/>
      </patternFill>
    </fill>
    <fill>
      <patternFill patternType="solid">
        <fgColor rgb="FFFFFF99"/>
        <bgColor indexed="64"/>
      </patternFill>
    </fill>
    <fill>
      <patternFill patternType="solid">
        <fgColor rgb="FFCCFF99"/>
        <bgColor indexed="64"/>
      </patternFill>
    </fill>
    <fill>
      <patternFill patternType="solid">
        <fgColor rgb="FFC5E0B3"/>
        <bgColor indexed="64"/>
      </patternFill>
    </fill>
    <fill>
      <patternFill patternType="solid">
        <fgColor rgb="FFFBE4D5"/>
        <bgColor indexed="64"/>
      </patternFill>
    </fill>
    <fill>
      <patternFill patternType="solid">
        <fgColor rgb="FFFFF2CC"/>
        <bgColor indexed="64"/>
      </patternFill>
    </fill>
    <fill>
      <patternFill patternType="solid">
        <fgColor rgb="FFAEAAAA"/>
        <bgColor indexed="64"/>
      </patternFill>
    </fill>
    <fill>
      <patternFill patternType="solid">
        <fgColor theme="9" tint="0.59999389629810485"/>
        <bgColor indexed="64"/>
      </patternFill>
    </fill>
    <fill>
      <patternFill patternType="solid">
        <fgColor rgb="FFCCFFCC"/>
        <bgColor indexed="64"/>
      </patternFill>
    </fill>
    <fill>
      <patternFill patternType="solid">
        <fgColor theme="6" tint="0.79998168889431442"/>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DEEAF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7C80"/>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right/>
      <top/>
      <bottom style="medium">
        <color indexed="64"/>
      </bottom>
      <diagonal/>
    </border>
  </borders>
  <cellStyleXfs count="15">
    <xf numFmtId="0" fontId="0" fillId="0" borderId="0"/>
    <xf numFmtId="0" fontId="5" fillId="0" borderId="0"/>
    <xf numFmtId="0" fontId="6" fillId="0" borderId="0">
      <alignment wrapText="1"/>
    </xf>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0">
      <alignment wrapText="1"/>
    </xf>
    <xf numFmtId="0" fontId="6" fillId="0" borderId="0">
      <alignment wrapText="1"/>
    </xf>
    <xf numFmtId="0" fontId="3" fillId="0" borderId="0"/>
    <xf numFmtId="0" fontId="10" fillId="0" borderId="0"/>
    <xf numFmtId="0" fontId="11" fillId="0" borderId="0" applyNumberFormat="0" applyFill="0" applyBorder="0" applyAlignment="0" applyProtection="0"/>
    <xf numFmtId="43" fontId="40" fillId="0" borderId="0" applyFont="0" applyFill="0" applyBorder="0" applyAlignment="0" applyProtection="0"/>
    <xf numFmtId="0" fontId="2" fillId="0" borderId="0"/>
    <xf numFmtId="0" fontId="1" fillId="0" borderId="0"/>
  </cellStyleXfs>
  <cellXfs count="706">
    <xf numFmtId="0" fontId="0" fillId="0" borderId="0" xfId="0"/>
    <xf numFmtId="4" fontId="0" fillId="0" borderId="0" xfId="0" applyNumberFormat="1"/>
    <xf numFmtId="0" fontId="8" fillId="2" borderId="0" xfId="7" applyFont="1" applyFill="1" applyProtection="1">
      <alignment wrapText="1"/>
      <protection hidden="1"/>
    </xf>
    <xf numFmtId="0" fontId="7" fillId="2" borderId="0" xfId="7" applyFont="1" applyFill="1" applyProtection="1">
      <alignment wrapText="1"/>
      <protection hidden="1"/>
    </xf>
    <xf numFmtId="2" fontId="7" fillId="2" borderId="0" xfId="7" applyNumberFormat="1" applyFont="1" applyFill="1" applyProtection="1">
      <alignment wrapText="1"/>
      <protection hidden="1"/>
    </xf>
    <xf numFmtId="2" fontId="0" fillId="0" borderId="0" xfId="0" applyNumberFormat="1"/>
    <xf numFmtId="0" fontId="13" fillId="2" borderId="0" xfId="0" applyFont="1" applyFill="1" applyBorder="1" applyProtection="1">
      <protection hidden="1"/>
    </xf>
    <xf numFmtId="0" fontId="13" fillId="2" borderId="0" xfId="0" applyFont="1" applyFill="1" applyProtection="1">
      <protection hidden="1"/>
    </xf>
    <xf numFmtId="0" fontId="13" fillId="2" borderId="1" xfId="0" applyFont="1" applyFill="1" applyBorder="1" applyProtection="1">
      <protection hidden="1"/>
    </xf>
    <xf numFmtId="0" fontId="13" fillId="2" borderId="0" xfId="0" applyFont="1" applyFill="1" applyProtection="1">
      <protection locked="0"/>
    </xf>
    <xf numFmtId="0" fontId="13" fillId="0" borderId="0" xfId="0" applyFont="1" applyProtection="1">
      <protection locked="0"/>
    </xf>
    <xf numFmtId="0" fontId="19" fillId="10" borderId="1" xfId="0" applyFont="1" applyFill="1" applyBorder="1" applyAlignment="1" applyProtection="1">
      <alignment horizontal="center" vertical="center" wrapText="1"/>
      <protection hidden="1"/>
    </xf>
    <xf numFmtId="0" fontId="16" fillId="10" borderId="8" xfId="0" applyFont="1" applyFill="1" applyBorder="1" applyAlignment="1" applyProtection="1">
      <alignment horizontal="center" vertical="center" wrapText="1"/>
      <protection hidden="1"/>
    </xf>
    <xf numFmtId="191" fontId="13" fillId="11" borderId="1" xfId="0" applyNumberFormat="1" applyFont="1" applyFill="1" applyBorder="1" applyAlignment="1" applyProtection="1">
      <alignment horizontal="center" vertical="center" wrapText="1"/>
      <protection hidden="1"/>
    </xf>
    <xf numFmtId="4" fontId="13" fillId="2" borderId="16" xfId="0" applyNumberFormat="1" applyFont="1" applyFill="1" applyBorder="1" applyAlignment="1" applyProtection="1">
      <alignment horizontal="center" vertical="center" wrapText="1"/>
      <protection hidden="1"/>
    </xf>
    <xf numFmtId="191" fontId="13" fillId="2" borderId="16" xfId="0" applyNumberFormat="1" applyFont="1" applyFill="1" applyBorder="1" applyAlignment="1" applyProtection="1">
      <alignment horizontal="center" vertical="center" wrapText="1"/>
      <protection hidden="1"/>
    </xf>
    <xf numFmtId="2" fontId="13" fillId="2" borderId="11" xfId="0" applyNumberFormat="1" applyFont="1" applyFill="1" applyBorder="1" applyAlignment="1" applyProtection="1">
      <alignment horizontal="center" vertical="center" wrapText="1"/>
      <protection hidden="1"/>
    </xf>
    <xf numFmtId="2" fontId="16" fillId="5" borderId="1"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left" vertical="center" wrapText="1"/>
      <protection hidden="1"/>
    </xf>
    <xf numFmtId="190" fontId="13" fillId="11" borderId="1" xfId="0" applyNumberFormat="1" applyFont="1" applyFill="1" applyBorder="1" applyAlignment="1" applyProtection="1">
      <alignment horizontal="center" vertical="center" wrapText="1"/>
      <protection hidden="1"/>
    </xf>
    <xf numFmtId="190" fontId="13" fillId="2" borderId="16" xfId="0" applyNumberFormat="1" applyFont="1" applyFill="1" applyBorder="1" applyAlignment="1" applyProtection="1">
      <alignment horizontal="center" vertical="center" wrapText="1"/>
      <protection hidden="1"/>
    </xf>
    <xf numFmtId="4" fontId="16" fillId="5" borderId="16" xfId="0" applyNumberFormat="1" applyFont="1" applyFill="1" applyBorder="1" applyAlignment="1" applyProtection="1">
      <alignment horizontal="center" vertical="center" wrapText="1"/>
      <protection hidden="1"/>
    </xf>
    <xf numFmtId="0" fontId="9" fillId="0" borderId="16" xfId="0" applyFont="1" applyBorder="1" applyAlignment="1" applyProtection="1">
      <alignment horizontal="left" vertical="center" wrapText="1"/>
      <protection hidden="1"/>
    </xf>
    <xf numFmtId="187" fontId="13" fillId="11" borderId="1" xfId="0" applyNumberFormat="1" applyFont="1" applyFill="1" applyBorder="1" applyAlignment="1" applyProtection="1">
      <alignment horizontal="center" vertical="center" wrapText="1"/>
      <protection hidden="1"/>
    </xf>
    <xf numFmtId="0" fontId="13" fillId="2" borderId="0" xfId="0" applyFont="1" applyFill="1" applyBorder="1" applyProtection="1">
      <protection locked="0"/>
    </xf>
    <xf numFmtId="0" fontId="16" fillId="2" borderId="1" xfId="0" applyFont="1" applyFill="1" applyBorder="1" applyAlignment="1" applyProtection="1">
      <alignment horizontal="center" vertical="center" wrapText="1"/>
      <protection hidden="1"/>
    </xf>
    <xf numFmtId="0" fontId="13" fillId="2" borderId="0" xfId="0" applyFont="1" applyFill="1" applyBorder="1" applyAlignment="1" applyProtection="1">
      <alignment textRotation="135"/>
      <protection hidden="1"/>
    </xf>
    <xf numFmtId="0" fontId="16" fillId="14" borderId="6" xfId="0" applyFont="1" applyFill="1" applyBorder="1" applyAlignment="1" applyProtection="1">
      <alignment horizontal="left" vertical="center"/>
      <protection hidden="1"/>
    </xf>
    <xf numFmtId="0" fontId="16" fillId="14" borderId="6" xfId="0" applyFont="1" applyFill="1" applyBorder="1" applyAlignment="1" applyProtection="1">
      <alignment vertical="center"/>
      <protection hidden="1"/>
    </xf>
    <xf numFmtId="0" fontId="16" fillId="14" borderId="7" xfId="0" applyFont="1" applyFill="1" applyBorder="1" applyAlignment="1" applyProtection="1">
      <alignment vertical="center"/>
      <protection hidden="1"/>
    </xf>
    <xf numFmtId="0" fontId="23" fillId="0" borderId="16" xfId="0" applyFont="1" applyBorder="1" applyAlignment="1" applyProtection="1">
      <alignment horizontal="left" vertical="center" wrapText="1"/>
      <protection hidden="1"/>
    </xf>
    <xf numFmtId="0" fontId="23" fillId="2" borderId="0" xfId="0" applyFont="1" applyFill="1" applyBorder="1" applyProtection="1">
      <protection hidden="1"/>
    </xf>
    <xf numFmtId="0" fontId="16" fillId="14" borderId="6" xfId="0" applyFont="1" applyFill="1" applyBorder="1" applyAlignment="1" applyProtection="1">
      <alignment horizontal="center" vertical="center"/>
      <protection hidden="1"/>
    </xf>
    <xf numFmtId="0" fontId="13" fillId="0" borderId="16"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2" fontId="14" fillId="2" borderId="13" xfId="0" applyNumberFormat="1" applyFont="1" applyFill="1" applyBorder="1" applyAlignment="1" applyProtection="1">
      <alignment horizontal="center" vertical="center"/>
      <protection hidden="1"/>
    </xf>
    <xf numFmtId="2" fontId="14" fillId="2" borderId="9" xfId="0" applyNumberFormat="1" applyFont="1" applyFill="1" applyBorder="1" applyAlignment="1" applyProtection="1">
      <alignment horizontal="center" vertical="center"/>
      <protection hidden="1"/>
    </xf>
    <xf numFmtId="0" fontId="26" fillId="2" borderId="0" xfId="0" applyFont="1" applyFill="1" applyAlignment="1" applyProtection="1">
      <alignment horizontal="right" vertical="top"/>
      <protection hidden="1"/>
    </xf>
    <xf numFmtId="0" fontId="16" fillId="2" borderId="0" xfId="0" applyFont="1" applyFill="1" applyProtection="1">
      <protection hidden="1"/>
    </xf>
    <xf numFmtId="0" fontId="16" fillId="14" borderId="16" xfId="0" applyFont="1" applyFill="1" applyBorder="1" applyAlignment="1" applyProtection="1">
      <alignment vertical="top" wrapText="1"/>
      <protection hidden="1"/>
    </xf>
    <xf numFmtId="191" fontId="27" fillId="10" borderId="16" xfId="0" applyNumberFormat="1" applyFont="1" applyFill="1" applyBorder="1" applyAlignment="1" applyProtection="1">
      <alignment horizontal="center" vertical="center"/>
      <protection hidden="1"/>
    </xf>
    <xf numFmtId="0" fontId="16" fillId="14" borderId="1" xfId="0" applyFont="1" applyFill="1" applyBorder="1" applyAlignment="1" applyProtection="1">
      <alignment vertical="center" wrapText="1"/>
      <protection hidden="1"/>
    </xf>
    <xf numFmtId="191" fontId="24" fillId="10" borderId="1" xfId="0" applyNumberFormat="1" applyFont="1" applyFill="1" applyBorder="1" applyAlignment="1" applyProtection="1">
      <alignment horizontal="center" vertical="center"/>
      <protection hidden="1"/>
    </xf>
    <xf numFmtId="2" fontId="24" fillId="10" borderId="1" xfId="0" applyNumberFormat="1" applyFont="1" applyFill="1" applyBorder="1" applyAlignment="1" applyProtection="1">
      <alignment horizontal="center" vertical="center"/>
      <protection hidden="1"/>
    </xf>
    <xf numFmtId="0" fontId="24" fillId="10" borderId="1" xfId="0" applyFont="1" applyFill="1" applyBorder="1" applyAlignment="1" applyProtection="1">
      <alignment horizontal="center" vertical="center"/>
      <protection hidden="1"/>
    </xf>
    <xf numFmtId="0" fontId="13" fillId="2" borderId="1" xfId="0" applyFont="1" applyFill="1" applyBorder="1"/>
    <xf numFmtId="0" fontId="13" fillId="2" borderId="1" xfId="0" applyFont="1" applyFill="1" applyBorder="1" applyAlignment="1" applyProtection="1">
      <alignment vertical="top" wrapText="1"/>
      <protection hidden="1"/>
    </xf>
    <xf numFmtId="0" fontId="13" fillId="2" borderId="1" xfId="0" applyFont="1" applyFill="1" applyBorder="1" applyAlignment="1" applyProtection="1">
      <alignment horizontal="center" vertical="top" wrapText="1"/>
      <protection hidden="1"/>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hidden="1"/>
    </xf>
    <xf numFmtId="0" fontId="16" fillId="2" borderId="11" xfId="0" applyFont="1" applyFill="1" applyBorder="1" applyAlignment="1">
      <alignment vertical="center"/>
    </xf>
    <xf numFmtId="0" fontId="20" fillId="2" borderId="11" xfId="0" applyFont="1" applyFill="1" applyBorder="1" applyAlignment="1" applyProtection="1">
      <alignment vertical="center"/>
      <protection hidden="1"/>
    </xf>
    <xf numFmtId="0" fontId="13" fillId="2" borderId="0" xfId="0" applyFont="1" applyFill="1"/>
    <xf numFmtId="0" fontId="16" fillId="2" borderId="0" xfId="0" applyFont="1" applyFill="1" applyBorder="1" applyAlignment="1" applyProtection="1">
      <alignment vertical="top"/>
      <protection hidden="1"/>
    </xf>
    <xf numFmtId="0" fontId="16" fillId="2" borderId="8" xfId="0" applyFont="1" applyFill="1" applyBorder="1" applyAlignment="1">
      <alignment horizontal="center" vertical="top" wrapText="1"/>
    </xf>
    <xf numFmtId="0" fontId="16" fillId="2" borderId="0" xfId="0" applyFont="1" applyFill="1" applyBorder="1" applyAlignment="1" applyProtection="1">
      <alignment vertical="top" wrapText="1"/>
      <protection hidden="1"/>
    </xf>
    <xf numFmtId="0" fontId="16" fillId="14" borderId="1" xfId="0" applyFont="1" applyFill="1" applyBorder="1" applyAlignment="1" applyProtection="1">
      <alignment vertical="top" wrapText="1"/>
      <protection hidden="1"/>
    </xf>
    <xf numFmtId="0" fontId="16" fillId="6" borderId="1" xfId="0" applyFont="1" applyFill="1" applyBorder="1" applyAlignment="1" applyProtection="1">
      <alignment vertical="center" wrapText="1"/>
      <protection hidden="1"/>
    </xf>
    <xf numFmtId="191" fontId="27" fillId="10" borderId="1" xfId="0" applyNumberFormat="1" applyFont="1" applyFill="1" applyBorder="1" applyAlignment="1" applyProtection="1">
      <alignment horizontal="center" vertical="center"/>
      <protection hidden="1"/>
    </xf>
    <xf numFmtId="0" fontId="16" fillId="2" borderId="8" xfId="0" applyFont="1" applyFill="1" applyBorder="1" applyAlignment="1">
      <alignment vertical="top" wrapText="1"/>
    </xf>
    <xf numFmtId="0" fontId="16" fillId="2" borderId="0" xfId="0" applyFont="1" applyFill="1" applyBorder="1" applyAlignment="1" applyProtection="1">
      <alignment vertical="center" wrapText="1"/>
      <protection hidden="1"/>
    </xf>
    <xf numFmtId="0" fontId="16" fillId="2" borderId="1" xfId="0" applyFont="1" applyFill="1" applyBorder="1" applyAlignment="1" applyProtection="1">
      <alignment vertical="center" wrapText="1"/>
      <protection hidden="1"/>
    </xf>
    <xf numFmtId="0" fontId="28" fillId="2" borderId="1" xfId="0" applyFont="1" applyFill="1" applyBorder="1" applyAlignment="1">
      <alignment horizontal="left" vertical="top"/>
    </xf>
    <xf numFmtId="0" fontId="16" fillId="2" borderId="0" xfId="0" applyFont="1" applyFill="1" applyBorder="1" applyAlignment="1">
      <alignment vertical="top" wrapText="1"/>
    </xf>
    <xf numFmtId="0" fontId="29" fillId="2" borderId="0" xfId="0" applyFont="1" applyFill="1" applyBorder="1" applyAlignment="1" applyProtection="1">
      <alignment vertical="top" wrapText="1"/>
      <protection hidden="1"/>
    </xf>
    <xf numFmtId="2" fontId="29" fillId="2" borderId="0" xfId="0" applyNumberFormat="1" applyFont="1" applyFill="1" applyBorder="1" applyAlignment="1" applyProtection="1">
      <alignment horizontal="center" vertical="top" wrapText="1"/>
      <protection hidden="1"/>
    </xf>
    <xf numFmtId="0" fontId="29" fillId="2" borderId="0" xfId="0" applyFont="1" applyFill="1" applyBorder="1" applyAlignment="1" applyProtection="1">
      <alignment horizontal="center" vertical="top" wrapText="1"/>
      <protection hidden="1"/>
    </xf>
    <xf numFmtId="0" fontId="29" fillId="2" borderId="0" xfId="0" applyFont="1" applyFill="1" applyBorder="1" applyAlignment="1">
      <alignment horizontal="left" vertical="top"/>
    </xf>
    <xf numFmtId="0" fontId="30" fillId="2" borderId="11" xfId="0" applyFont="1" applyFill="1" applyBorder="1" applyAlignment="1">
      <alignment vertical="center"/>
    </xf>
    <xf numFmtId="0" fontId="16" fillId="2" borderId="0" xfId="0" applyFont="1" applyFill="1" applyBorder="1" applyAlignment="1">
      <alignment vertical="center"/>
    </xf>
    <xf numFmtId="0" fontId="30"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190" fontId="27" fillId="10" borderId="1" xfId="0" applyNumberFormat="1" applyFont="1" applyFill="1" applyBorder="1" applyAlignment="1" applyProtection="1">
      <alignment horizontal="center" vertical="center"/>
      <protection hidden="1"/>
    </xf>
    <xf numFmtId="0" fontId="30" fillId="2" borderId="8" xfId="0" applyFont="1" applyFill="1" applyBorder="1" applyAlignment="1">
      <alignment vertical="top" wrapText="1"/>
    </xf>
    <xf numFmtId="190" fontId="24" fillId="10" borderId="1" xfId="0" applyNumberFormat="1" applyFont="1" applyFill="1" applyBorder="1" applyAlignment="1" applyProtection="1">
      <alignment horizontal="center" vertical="center"/>
      <protection hidden="1"/>
    </xf>
    <xf numFmtId="0" fontId="29" fillId="2" borderId="0" xfId="0" applyFont="1" applyFill="1" applyBorder="1"/>
    <xf numFmtId="187" fontId="16" fillId="10" borderId="1" xfId="0" applyNumberFormat="1" applyFont="1" applyFill="1" applyBorder="1" applyAlignment="1" applyProtection="1">
      <alignment horizontal="center" vertical="center"/>
      <protection hidden="1"/>
    </xf>
    <xf numFmtId="187" fontId="24" fillId="10" borderId="1" xfId="0" applyNumberFormat="1" applyFont="1" applyFill="1" applyBorder="1" applyAlignment="1" applyProtection="1">
      <alignment horizontal="center" vertical="center"/>
      <protection hidden="1"/>
    </xf>
    <xf numFmtId="0" fontId="16" fillId="2" borderId="11" xfId="0" applyFont="1" applyFill="1" applyBorder="1" applyAlignment="1">
      <alignment vertical="top" wrapText="1"/>
    </xf>
    <xf numFmtId="0" fontId="13" fillId="2" borderId="8" xfId="0" applyFont="1" applyFill="1" applyBorder="1" applyAlignment="1" applyProtection="1">
      <alignment horizontal="left" vertical="center" wrapText="1" indent="3"/>
      <protection locked="0" hidden="1"/>
    </xf>
    <xf numFmtId="0" fontId="13" fillId="2" borderId="6" xfId="0" applyFont="1" applyFill="1" applyBorder="1" applyAlignment="1" applyProtection="1">
      <alignment horizontal="left" vertical="center" wrapText="1" indent="3"/>
      <protection locked="0" hidden="1"/>
    </xf>
    <xf numFmtId="0" fontId="13" fillId="2" borderId="7" xfId="0" applyFont="1" applyFill="1" applyBorder="1"/>
    <xf numFmtId="0" fontId="13" fillId="2" borderId="0" xfId="0" applyFont="1" applyFill="1" applyBorder="1"/>
    <xf numFmtId="0" fontId="13" fillId="2" borderId="0" xfId="0" applyFont="1" applyFill="1" applyBorder="1" applyAlignment="1" applyProtection="1">
      <alignment horizontal="left" vertical="center" wrapText="1" indent="3"/>
      <protection locked="0" hidden="1"/>
    </xf>
    <xf numFmtId="0" fontId="31" fillId="2" borderId="0" xfId="0" applyFont="1" applyFill="1"/>
    <xf numFmtId="0" fontId="32" fillId="2" borderId="1" xfId="0" applyFont="1" applyFill="1" applyBorder="1" applyAlignment="1" applyProtection="1">
      <alignment vertical="top" wrapText="1"/>
      <protection hidden="1"/>
    </xf>
    <xf numFmtId="2" fontId="32" fillId="2" borderId="7" xfId="0" applyNumberFormat="1" applyFont="1" applyFill="1" applyBorder="1" applyAlignment="1" applyProtection="1">
      <alignment horizontal="center" vertical="top" wrapText="1"/>
      <protection hidden="1"/>
    </xf>
    <xf numFmtId="0" fontId="32" fillId="2" borderId="1" xfId="0" applyFont="1" applyFill="1" applyBorder="1" applyAlignment="1" applyProtection="1">
      <alignment horizontal="center" vertical="top" wrapText="1"/>
      <protection hidden="1"/>
    </xf>
    <xf numFmtId="0" fontId="29" fillId="2" borderId="1" xfId="0" applyFont="1" applyFill="1" applyBorder="1"/>
    <xf numFmtId="0" fontId="13" fillId="2" borderId="0" xfId="0" applyFont="1" applyFill="1" applyBorder="1" applyAlignment="1" applyProtection="1">
      <alignment horizontal="left" vertical="center" wrapText="1" indent="2"/>
      <protection locked="0" hidden="1"/>
    </xf>
    <xf numFmtId="0" fontId="33" fillId="2" borderId="8" xfId="0" applyFont="1" applyFill="1" applyBorder="1" applyAlignment="1" applyProtection="1">
      <alignment vertical="center"/>
      <protection hidden="1"/>
    </xf>
    <xf numFmtId="0" fontId="33" fillId="2" borderId="6" xfId="0" applyFont="1" applyFill="1" applyBorder="1" applyAlignment="1" applyProtection="1">
      <alignment vertical="center"/>
      <protection hidden="1"/>
    </xf>
    <xf numFmtId="0" fontId="33" fillId="2" borderId="7" xfId="0" applyFont="1" applyFill="1" applyBorder="1" applyAlignment="1" applyProtection="1">
      <alignment vertical="center"/>
      <protection hidden="1"/>
    </xf>
    <xf numFmtId="0" fontId="35" fillId="10" borderId="27" xfId="7" applyFont="1" applyFill="1" applyBorder="1" applyAlignment="1" applyProtection="1">
      <alignment horizontal="center" vertical="top" wrapText="1"/>
      <protection hidden="1"/>
    </xf>
    <xf numFmtId="0" fontId="35" fillId="10" borderId="24" xfId="7" applyFont="1" applyFill="1" applyBorder="1" applyAlignment="1" applyProtection="1">
      <alignment horizontal="center" vertical="top" wrapText="1"/>
      <protection hidden="1"/>
    </xf>
    <xf numFmtId="0" fontId="35" fillId="2" borderId="27" xfId="7" applyFont="1" applyFill="1" applyBorder="1" applyAlignment="1" applyProtection="1">
      <alignment vertical="top" wrapText="1"/>
      <protection hidden="1"/>
    </xf>
    <xf numFmtId="188" fontId="36" fillId="2" borderId="27" xfId="7" applyNumberFormat="1" applyFont="1" applyFill="1" applyBorder="1" applyAlignment="1" applyProtection="1">
      <alignment horizontal="center" vertical="top" wrapText="1"/>
      <protection hidden="1"/>
    </xf>
    <xf numFmtId="189" fontId="36" fillId="2" borderId="27" xfId="7" applyNumberFormat="1" applyFont="1" applyFill="1" applyBorder="1" applyAlignment="1" applyProtection="1">
      <alignment horizontal="center" vertical="top" wrapText="1"/>
      <protection hidden="1"/>
    </xf>
    <xf numFmtId="189" fontId="36" fillId="2" borderId="24" xfId="7" applyNumberFormat="1" applyFont="1" applyFill="1" applyBorder="1" applyAlignment="1" applyProtection="1">
      <alignment horizontal="center" vertical="top" wrapText="1"/>
      <protection hidden="1"/>
    </xf>
    <xf numFmtId="0" fontId="36" fillId="2" borderId="27" xfId="7" applyFont="1" applyFill="1" applyBorder="1" applyAlignment="1" applyProtection="1">
      <alignment vertical="top" wrapText="1"/>
      <protection hidden="1"/>
    </xf>
    <xf numFmtId="0" fontId="37" fillId="2" borderId="27" xfId="7" applyFont="1" applyFill="1" applyBorder="1" applyAlignment="1" applyProtection="1">
      <alignment vertical="top" wrapText="1"/>
      <protection hidden="1"/>
    </xf>
    <xf numFmtId="189" fontId="7" fillId="2" borderId="27" xfId="7" applyNumberFormat="1" applyFont="1" applyFill="1" applyBorder="1" applyAlignment="1" applyProtection="1">
      <alignment horizontal="center" vertical="top" wrapText="1"/>
      <protection hidden="1"/>
    </xf>
    <xf numFmtId="0" fontId="7" fillId="2" borderId="27" xfId="7" applyFont="1" applyFill="1" applyBorder="1" applyAlignment="1" applyProtection="1">
      <alignment vertical="top" wrapText="1"/>
      <protection hidden="1"/>
    </xf>
    <xf numFmtId="189" fontId="7" fillId="9" borderId="27" xfId="7" applyNumberFormat="1" applyFont="1" applyFill="1" applyBorder="1" applyAlignment="1" applyProtection="1">
      <alignment horizontal="center" vertical="top" wrapText="1"/>
      <protection hidden="1"/>
    </xf>
    <xf numFmtId="189" fontId="7" fillId="2" borderId="24" xfId="7" applyNumberFormat="1" applyFont="1" applyFill="1" applyBorder="1" applyAlignment="1" applyProtection="1">
      <alignment horizontal="center" vertical="top" wrapText="1"/>
      <protection hidden="1"/>
    </xf>
    <xf numFmtId="0" fontId="37" fillId="2" borderId="27" xfId="7" applyFont="1" applyFill="1" applyBorder="1" applyAlignment="1" applyProtection="1">
      <alignment horizontal="right" vertical="top" wrapText="1"/>
      <protection hidden="1"/>
    </xf>
    <xf numFmtId="188" fontId="7" fillId="2" borderId="23" xfId="7" applyNumberFormat="1" applyFont="1" applyFill="1" applyBorder="1" applyAlignment="1" applyProtection="1">
      <alignment horizontal="center" vertical="top" wrapText="1"/>
      <protection hidden="1"/>
    </xf>
    <xf numFmtId="188" fontId="7" fillId="2" borderId="27" xfId="7" applyNumberFormat="1" applyFont="1" applyFill="1" applyBorder="1" applyAlignment="1" applyProtection="1">
      <alignment horizontal="center" vertical="top" wrapText="1"/>
      <protection hidden="1"/>
    </xf>
    <xf numFmtId="189" fontId="7" fillId="9" borderId="28" xfId="7" applyNumberFormat="1" applyFont="1" applyFill="1" applyBorder="1" applyAlignment="1" applyProtection="1">
      <alignment horizontal="center" vertical="top" wrapText="1"/>
      <protection hidden="1"/>
    </xf>
    <xf numFmtId="0" fontId="38" fillId="9" borderId="30" xfId="2" applyFont="1" applyFill="1" applyBorder="1" applyProtection="1">
      <alignment wrapText="1"/>
      <protection hidden="1"/>
    </xf>
    <xf numFmtId="0" fontId="37" fillId="8" borderId="24" xfId="7" applyFont="1" applyFill="1" applyBorder="1" applyAlignment="1" applyProtection="1">
      <alignment horizontal="center" vertical="top" wrapText="1"/>
      <protection hidden="1"/>
    </xf>
    <xf numFmtId="188" fontId="37" fillId="8" borderId="1" xfId="7" applyNumberFormat="1" applyFont="1" applyFill="1" applyBorder="1" applyAlignment="1" applyProtection="1">
      <alignment horizontal="center" vertical="center" wrapText="1"/>
      <protection hidden="1"/>
    </xf>
    <xf numFmtId="189" fontId="37" fillId="8" borderId="29" xfId="7" applyNumberFormat="1" applyFont="1" applyFill="1" applyBorder="1" applyAlignment="1" applyProtection="1">
      <alignment horizontal="center" vertical="top" wrapText="1"/>
      <protection hidden="1"/>
    </xf>
    <xf numFmtId="189" fontId="37" fillId="8" borderId="23" xfId="7" applyNumberFormat="1" applyFont="1" applyFill="1" applyBorder="1" applyAlignment="1" applyProtection="1">
      <alignment horizontal="center" vertical="top" wrapText="1"/>
      <protection hidden="1"/>
    </xf>
    <xf numFmtId="189" fontId="37" fillId="8" borderId="28" xfId="7" applyNumberFormat="1" applyFont="1" applyFill="1" applyBorder="1" applyAlignment="1" applyProtection="1">
      <alignment horizontal="center" vertical="top" wrapText="1"/>
      <protection hidden="1"/>
    </xf>
    <xf numFmtId="189" fontId="37" fillId="8" borderId="1" xfId="7" applyNumberFormat="1" applyFont="1" applyFill="1" applyBorder="1" applyAlignment="1" applyProtection="1">
      <alignment horizontal="center" vertical="top" wrapText="1"/>
      <protection hidden="1"/>
    </xf>
    <xf numFmtId="0" fontId="37" fillId="8" borderId="1" xfId="7" applyFont="1" applyFill="1" applyBorder="1" applyAlignment="1" applyProtection="1">
      <alignment vertical="top" wrapText="1"/>
      <protection hidden="1"/>
    </xf>
    <xf numFmtId="0" fontId="9" fillId="4" borderId="1" xfId="7" applyFont="1" applyFill="1" applyBorder="1" applyAlignment="1" applyProtection="1">
      <alignment horizontal="center" vertical="top" wrapText="1"/>
      <protection hidden="1"/>
    </xf>
    <xf numFmtId="0" fontId="7" fillId="2" borderId="0" xfId="7" applyFont="1" applyFill="1" applyBorder="1" applyAlignment="1" applyProtection="1">
      <alignment horizontal="center" vertical="top" wrapText="1"/>
      <protection hidden="1"/>
    </xf>
    <xf numFmtId="0" fontId="38" fillId="9" borderId="0" xfId="2" applyFont="1" applyFill="1" applyAlignment="1" applyProtection="1">
      <alignment horizontal="center" wrapText="1"/>
      <protection hidden="1"/>
    </xf>
    <xf numFmtId="0" fontId="39" fillId="8" borderId="1" xfId="7" applyFont="1" applyFill="1" applyBorder="1" applyAlignment="1" applyProtection="1">
      <alignment horizontal="center" vertical="top" wrapText="1"/>
      <protection hidden="1"/>
    </xf>
    <xf numFmtId="2" fontId="14" fillId="2" borderId="10" xfId="0" applyNumberFormat="1" applyFont="1" applyFill="1" applyBorder="1" applyAlignment="1" applyProtection="1">
      <alignment horizontal="center" vertical="center"/>
      <protection hidden="1"/>
    </xf>
    <xf numFmtId="2" fontId="14" fillId="2" borderId="11" xfId="0" applyNumberFormat="1" applyFont="1" applyFill="1" applyBorder="1" applyAlignment="1" applyProtection="1">
      <alignment horizontal="center" vertical="center"/>
      <protection hidden="1"/>
    </xf>
    <xf numFmtId="0" fontId="16" fillId="2" borderId="8" xfId="0" applyFont="1" applyFill="1" applyBorder="1" applyAlignment="1" applyProtection="1">
      <alignment vertical="top" wrapText="1"/>
      <protection locked="0"/>
    </xf>
    <xf numFmtId="0" fontId="16" fillId="2" borderId="0" xfId="0" applyFont="1" applyFill="1" applyBorder="1" applyAlignment="1" applyProtection="1">
      <alignment vertical="top" wrapText="1"/>
      <protection locked="0"/>
    </xf>
    <xf numFmtId="0" fontId="13" fillId="2" borderId="1" xfId="0" applyFont="1" applyFill="1" applyBorder="1" applyProtection="1">
      <protection locked="0"/>
    </xf>
    <xf numFmtId="0" fontId="16" fillId="6" borderId="16" xfId="0" applyFont="1" applyFill="1" applyBorder="1" applyAlignment="1" applyProtection="1">
      <alignment vertical="center" wrapText="1"/>
      <protection hidden="1"/>
    </xf>
    <xf numFmtId="2" fontId="13" fillId="2" borderId="7" xfId="0" applyNumberFormat="1" applyFont="1" applyFill="1" applyBorder="1" applyAlignment="1" applyProtection="1">
      <alignment horizontal="center" vertical="top" wrapText="1"/>
      <protection locked="0"/>
    </xf>
    <xf numFmtId="2" fontId="13" fillId="2" borderId="7" xfId="0" applyNumberFormat="1" applyFont="1" applyFill="1" applyBorder="1" applyAlignment="1" applyProtection="1">
      <alignment horizontal="center" vertical="center" wrapText="1"/>
      <protection locked="0"/>
    </xf>
    <xf numFmtId="0" fontId="2" fillId="0" borderId="0" xfId="13"/>
    <xf numFmtId="0" fontId="43" fillId="0" borderId="0" xfId="0" applyFont="1"/>
    <xf numFmtId="0" fontId="43" fillId="0" borderId="0" xfId="0" applyFont="1" applyAlignment="1">
      <alignment vertical="center"/>
    </xf>
    <xf numFmtId="0" fontId="44" fillId="0" borderId="0" xfId="13" applyFont="1" applyAlignment="1">
      <alignment horizontal="center" vertical="center"/>
    </xf>
    <xf numFmtId="0" fontId="1" fillId="0" borderId="0" xfId="14"/>
    <xf numFmtId="0" fontId="49" fillId="0" borderId="0" xfId="14" applyFont="1"/>
    <xf numFmtId="2" fontId="13" fillId="2" borderId="7" xfId="0" applyNumberFormat="1" applyFont="1" applyFill="1" applyBorder="1" applyAlignment="1" applyProtection="1">
      <alignment horizontal="center" vertical="top" wrapText="1"/>
    </xf>
    <xf numFmtId="0" fontId="47" fillId="0" borderId="0" xfId="14" applyFont="1"/>
    <xf numFmtId="0" fontId="50" fillId="0" borderId="6" xfId="14" applyFont="1" applyBorder="1" applyAlignment="1">
      <alignment vertical="center"/>
    </xf>
    <xf numFmtId="0" fontId="50" fillId="0" borderId="7" xfId="14" applyFont="1" applyBorder="1" applyAlignment="1">
      <alignment vertical="center"/>
    </xf>
    <xf numFmtId="0" fontId="47" fillId="0" borderId="15" xfId="14" applyFont="1" applyBorder="1"/>
    <xf numFmtId="0" fontId="47" fillId="0" borderId="34" xfId="14" applyFont="1" applyBorder="1"/>
    <xf numFmtId="0" fontId="50" fillId="0" borderId="1" xfId="14" applyFont="1" applyBorder="1" applyAlignment="1">
      <alignment horizontal="center" vertical="center"/>
    </xf>
    <xf numFmtId="0" fontId="47" fillId="0" borderId="1" xfId="14" applyFont="1" applyBorder="1" applyAlignment="1">
      <alignment horizontal="center" vertical="center"/>
    </xf>
    <xf numFmtId="0" fontId="47" fillId="17" borderId="1" xfId="14" applyFont="1" applyFill="1" applyBorder="1" applyAlignment="1">
      <alignment horizontal="center" vertical="center" wrapText="1"/>
    </xf>
    <xf numFmtId="0" fontId="47" fillId="0" borderId="16" xfId="14" applyFont="1" applyBorder="1" applyAlignment="1">
      <alignment horizontal="center" vertical="center"/>
    </xf>
    <xf numFmtId="0" fontId="47" fillId="0" borderId="16" xfId="14" applyFont="1" applyBorder="1"/>
    <xf numFmtId="0" fontId="50" fillId="0" borderId="7" xfId="14" applyFont="1" applyBorder="1" applyAlignment="1">
      <alignment horizontal="center" vertical="center"/>
    </xf>
    <xf numFmtId="0" fontId="47" fillId="17" borderId="7" xfId="14" applyFont="1" applyFill="1" applyBorder="1" applyAlignment="1">
      <alignment horizontal="center" vertical="center" wrapText="1"/>
    </xf>
    <xf numFmtId="2" fontId="13" fillId="2" borderId="1" xfId="0" applyNumberFormat="1" applyFont="1" applyFill="1" applyBorder="1" applyAlignment="1" applyProtection="1">
      <alignment horizontal="center" vertical="center" wrapText="1"/>
    </xf>
    <xf numFmtId="0" fontId="51" fillId="0" borderId="0" xfId="14" applyFont="1"/>
    <xf numFmtId="0" fontId="48" fillId="0" borderId="0" xfId="14" applyFont="1"/>
    <xf numFmtId="0" fontId="48" fillId="2" borderId="0" xfId="14" applyFont="1" applyFill="1"/>
    <xf numFmtId="0" fontId="48" fillId="0" borderId="0" xfId="14" applyFont="1" applyFill="1"/>
    <xf numFmtId="0" fontId="46" fillId="0" borderId="0" xfId="14" applyFont="1" applyFill="1" applyBorder="1" applyAlignment="1">
      <alignment horizontal="center" vertical="center" wrapText="1"/>
    </xf>
    <xf numFmtId="0" fontId="46" fillId="2" borderId="15" xfId="14" applyFont="1" applyFill="1" applyBorder="1" applyAlignment="1">
      <alignment vertical="center" wrapText="1"/>
    </xf>
    <xf numFmtId="0" fontId="46" fillId="2" borderId="15" xfId="14" applyFont="1" applyFill="1" applyBorder="1" applyAlignment="1">
      <alignment horizontal="center" vertical="center" wrapText="1"/>
    </xf>
    <xf numFmtId="0" fontId="46" fillId="2" borderId="1" xfId="14" applyFont="1" applyFill="1" applyBorder="1" applyAlignment="1">
      <alignment horizontal="center" vertical="center" wrapText="1"/>
    </xf>
    <xf numFmtId="0" fontId="50" fillId="4" borderId="8" xfId="14" applyFont="1" applyFill="1" applyBorder="1" applyAlignment="1">
      <alignment horizontal="justify" vertical="center" wrapText="1"/>
    </xf>
    <xf numFmtId="0" fontId="50" fillId="4" borderId="6" xfId="14" applyFont="1" applyFill="1" applyBorder="1" applyAlignment="1">
      <alignment horizontal="center" vertical="center" wrapText="1"/>
    </xf>
    <xf numFmtId="0" fontId="50" fillId="4" borderId="7" xfId="14" applyFont="1" applyFill="1" applyBorder="1" applyAlignment="1">
      <alignment horizontal="center" vertical="center" wrapText="1"/>
    </xf>
    <xf numFmtId="0" fontId="50" fillId="25" borderId="6" xfId="14" applyFont="1" applyFill="1" applyBorder="1" applyAlignment="1">
      <alignment horizontal="center" vertical="center" wrapText="1"/>
    </xf>
    <xf numFmtId="0" fontId="50" fillId="0" borderId="0" xfId="14" applyFont="1" applyFill="1" applyBorder="1" applyAlignment="1">
      <alignment horizontal="center" vertical="center" wrapText="1"/>
    </xf>
    <xf numFmtId="0" fontId="50" fillId="0" borderId="6" xfId="14" applyFont="1" applyBorder="1" applyAlignment="1">
      <alignment horizontal="center" vertical="center" wrapText="1"/>
    </xf>
    <xf numFmtId="0" fontId="50" fillId="0" borderId="7" xfId="14" applyFont="1" applyBorder="1" applyAlignment="1">
      <alignment horizontal="center" vertical="center" wrapText="1"/>
    </xf>
    <xf numFmtId="0" fontId="47" fillId="6" borderId="16" xfId="14" applyFont="1" applyFill="1" applyBorder="1" applyAlignment="1">
      <alignment horizontal="center" vertical="center" wrapText="1"/>
    </xf>
    <xf numFmtId="0" fontId="47" fillId="2" borderId="16" xfId="14" applyFont="1" applyFill="1" applyBorder="1" applyAlignment="1">
      <alignment horizontal="center" vertical="center" wrapText="1"/>
    </xf>
    <xf numFmtId="0" fontId="47" fillId="17" borderId="16" xfId="14" applyFont="1" applyFill="1" applyBorder="1" applyAlignment="1">
      <alignment horizontal="center" vertical="center" wrapText="1"/>
    </xf>
    <xf numFmtId="2" fontId="47" fillId="17" borderId="16" xfId="14" applyNumberFormat="1" applyFont="1" applyFill="1" applyBorder="1" applyAlignment="1">
      <alignment horizontal="center" vertical="center" wrapText="1"/>
    </xf>
    <xf numFmtId="15" fontId="47" fillId="0" borderId="1" xfId="14" applyNumberFormat="1" applyFont="1" applyBorder="1" applyAlignment="1">
      <alignment horizontal="center" vertical="center" wrapText="1"/>
    </xf>
    <xf numFmtId="15" fontId="47" fillId="0" borderId="0" xfId="14" applyNumberFormat="1" applyFont="1" applyFill="1" applyBorder="1" applyAlignment="1">
      <alignment horizontal="center" vertical="center" wrapText="1"/>
    </xf>
    <xf numFmtId="0" fontId="47" fillId="0" borderId="1" xfId="14" applyFont="1" applyBorder="1" applyAlignment="1">
      <alignment vertical="center" wrapText="1"/>
    </xf>
    <xf numFmtId="0" fontId="47" fillId="6" borderId="1" xfId="14" applyFont="1" applyFill="1" applyBorder="1" applyAlignment="1">
      <alignment horizontal="center" vertical="center" wrapText="1"/>
    </xf>
    <xf numFmtId="0" fontId="47" fillId="2" borderId="1" xfId="14" applyFont="1" applyFill="1" applyBorder="1" applyAlignment="1">
      <alignment horizontal="center" vertical="center" wrapText="1"/>
    </xf>
    <xf numFmtId="2" fontId="47" fillId="6" borderId="1" xfId="14" applyNumberFormat="1" applyFont="1" applyFill="1" applyBorder="1" applyAlignment="1">
      <alignment horizontal="center" vertical="center" wrapText="1"/>
    </xf>
    <xf numFmtId="0" fontId="47" fillId="3" borderId="1" xfId="14" applyFont="1" applyFill="1" applyBorder="1" applyAlignment="1">
      <alignment horizontal="center" vertical="center" wrapText="1"/>
    </xf>
    <xf numFmtId="2" fontId="47" fillId="17" borderId="1" xfId="14" applyNumberFormat="1" applyFont="1" applyFill="1" applyBorder="1" applyAlignment="1">
      <alignment horizontal="center" vertical="center" wrapText="1"/>
    </xf>
    <xf numFmtId="2" fontId="52" fillId="6" borderId="1" xfId="14" applyNumberFormat="1" applyFont="1" applyFill="1" applyBorder="1" applyAlignment="1">
      <alignment horizontal="center" vertical="center" wrapText="1"/>
    </xf>
    <xf numFmtId="0" fontId="47" fillId="17" borderId="15" xfId="14" applyFont="1" applyFill="1" applyBorder="1" applyAlignment="1">
      <alignment horizontal="center" vertical="center" wrapText="1"/>
    </xf>
    <xf numFmtId="2" fontId="47" fillId="17" borderId="15" xfId="14" applyNumberFormat="1" applyFont="1" applyFill="1" applyBorder="1" applyAlignment="1">
      <alignment horizontal="center" vertical="center" wrapText="1"/>
    </xf>
    <xf numFmtId="0" fontId="47" fillId="0" borderId="6" xfId="14" applyFont="1" applyBorder="1" applyAlignment="1">
      <alignment horizontal="center" vertical="center" wrapText="1"/>
    </xf>
    <xf numFmtId="0" fontId="47" fillId="0" borderId="7" xfId="14" applyFont="1" applyBorder="1" applyAlignment="1">
      <alignment horizontal="center" vertical="center" wrapText="1"/>
    </xf>
    <xf numFmtId="0" fontId="47" fillId="0" borderId="0" xfId="14" applyFont="1" applyFill="1" applyBorder="1" applyAlignment="1">
      <alignment horizontal="center" vertical="center" wrapText="1"/>
    </xf>
    <xf numFmtId="0" fontId="50" fillId="26" borderId="15" xfId="14" applyFont="1" applyFill="1" applyBorder="1" applyAlignment="1">
      <alignment horizontal="center" vertical="center" wrapText="1"/>
    </xf>
    <xf numFmtId="0" fontId="47" fillId="23" borderId="15" xfId="14" applyFont="1" applyFill="1" applyBorder="1" applyAlignment="1">
      <alignment horizontal="center" vertical="center" wrapText="1"/>
    </xf>
    <xf numFmtId="0" fontId="50" fillId="26" borderId="1" xfId="14" applyFont="1" applyFill="1" applyBorder="1" applyAlignment="1">
      <alignment horizontal="center" vertical="center" wrapText="1"/>
    </xf>
    <xf numFmtId="0" fontId="50" fillId="25" borderId="8" xfId="14" applyFont="1" applyFill="1" applyBorder="1" applyAlignment="1">
      <alignment horizontal="justify" vertical="center" wrapText="1"/>
    </xf>
    <xf numFmtId="0" fontId="50" fillId="25" borderId="7" xfId="14" applyFont="1" applyFill="1" applyBorder="1" applyAlignment="1">
      <alignment horizontal="center" vertical="center" wrapText="1"/>
    </xf>
    <xf numFmtId="0" fontId="47" fillId="27" borderId="1" xfId="14" applyFont="1" applyFill="1" applyBorder="1" applyAlignment="1">
      <alignment horizontal="center" vertical="center" wrapText="1"/>
    </xf>
    <xf numFmtId="0" fontId="47" fillId="0" borderId="32" xfId="14" applyFont="1" applyBorder="1" applyAlignment="1">
      <alignment horizontal="center" vertical="center" wrapText="1"/>
    </xf>
    <xf numFmtId="0" fontId="47" fillId="2" borderId="1" xfId="14" applyFont="1" applyFill="1" applyBorder="1" applyAlignment="1">
      <alignment vertical="center" wrapText="1"/>
    </xf>
    <xf numFmtId="0" fontId="47" fillId="26" borderId="1" xfId="14" applyFont="1" applyFill="1" applyBorder="1" applyAlignment="1">
      <alignment horizontal="center" vertical="center" wrapText="1"/>
    </xf>
    <xf numFmtId="0" fontId="50" fillId="0" borderId="14" xfId="14" applyFont="1" applyBorder="1" applyAlignment="1">
      <alignment horizontal="justify" vertical="center" wrapText="1"/>
    </xf>
    <xf numFmtId="0" fontId="50" fillId="0" borderId="11" xfId="14" applyFont="1" applyBorder="1" applyAlignment="1">
      <alignment horizontal="center" vertical="center" wrapText="1"/>
    </xf>
    <xf numFmtId="0" fontId="50" fillId="0" borderId="9" xfId="14" applyFont="1" applyBorder="1" applyAlignment="1">
      <alignment horizontal="center" vertical="center" wrapText="1"/>
    </xf>
    <xf numFmtId="0" fontId="50" fillId="0" borderId="3" xfId="14" applyFont="1" applyBorder="1" applyAlignment="1">
      <alignment horizontal="center" vertical="center" wrapText="1"/>
    </xf>
    <xf numFmtId="15" fontId="47" fillId="0" borderId="3" xfId="14" applyNumberFormat="1" applyFont="1" applyBorder="1" applyAlignment="1">
      <alignment horizontal="center" vertical="center" wrapText="1"/>
    </xf>
    <xf numFmtId="0" fontId="50" fillId="2" borderId="1" xfId="14" applyFont="1" applyFill="1" applyBorder="1" applyAlignment="1">
      <alignment horizontal="center" vertical="center" wrapText="1"/>
    </xf>
    <xf numFmtId="2" fontId="50" fillId="26" borderId="1" xfId="14" applyNumberFormat="1" applyFont="1" applyFill="1" applyBorder="1" applyAlignment="1">
      <alignment horizontal="center" vertical="center" wrapText="1"/>
    </xf>
    <xf numFmtId="0" fontId="47" fillId="23" borderId="1" xfId="14" applyFont="1" applyFill="1" applyBorder="1" applyAlignment="1">
      <alignment horizontal="center" vertical="center" wrapText="1"/>
    </xf>
    <xf numFmtId="0" fontId="50" fillId="26" borderId="3" xfId="14" applyFont="1" applyFill="1" applyBorder="1" applyAlignment="1">
      <alignment horizontal="center" vertical="center" wrapText="1"/>
    </xf>
    <xf numFmtId="0" fontId="47" fillId="25" borderId="6" xfId="14" applyFont="1" applyFill="1" applyBorder="1" applyAlignment="1">
      <alignment horizontal="center" vertical="center" wrapText="1"/>
    </xf>
    <xf numFmtId="0" fontId="47" fillId="25" borderId="7" xfId="14" applyFont="1" applyFill="1" applyBorder="1" applyAlignment="1">
      <alignment horizontal="center" vertical="center" wrapText="1"/>
    </xf>
    <xf numFmtId="0" fontId="47" fillId="25" borderId="3" xfId="14" applyFont="1" applyFill="1" applyBorder="1" applyAlignment="1">
      <alignment horizontal="center" vertical="center" wrapText="1"/>
    </xf>
    <xf numFmtId="0" fontId="47" fillId="0" borderId="11" xfId="14" applyFont="1" applyBorder="1" applyAlignment="1">
      <alignment horizontal="center" vertical="center" wrapText="1"/>
    </xf>
    <xf numFmtId="0" fontId="47" fillId="2" borderId="11" xfId="14" applyFont="1" applyFill="1" applyBorder="1" applyAlignment="1">
      <alignment horizontal="center" vertical="center" wrapText="1"/>
    </xf>
    <xf numFmtId="0" fontId="47" fillId="0" borderId="9" xfId="14" applyFont="1" applyBorder="1" applyAlignment="1">
      <alignment horizontal="center" vertical="center" wrapText="1"/>
    </xf>
    <xf numFmtId="0" fontId="47" fillId="0" borderId="3" xfId="14" applyFont="1" applyBorder="1" applyAlignment="1">
      <alignment horizontal="center" vertical="center" wrapText="1"/>
    </xf>
    <xf numFmtId="0" fontId="47" fillId="2" borderId="16" xfId="14" applyFont="1" applyFill="1" applyBorder="1" applyAlignment="1">
      <alignment vertical="center" wrapText="1"/>
    </xf>
    <xf numFmtId="0" fontId="50" fillId="25" borderId="3" xfId="14" applyFont="1" applyFill="1" applyBorder="1" applyAlignment="1">
      <alignment horizontal="center" vertical="center" wrapText="1"/>
    </xf>
    <xf numFmtId="0" fontId="47" fillId="28" borderId="1" xfId="14" applyFont="1" applyFill="1" applyBorder="1" applyAlignment="1">
      <alignment horizontal="center" vertical="center" wrapText="1"/>
    </xf>
    <xf numFmtId="2" fontId="47" fillId="24" borderId="1" xfId="14" applyNumberFormat="1" applyFont="1" applyFill="1" applyBorder="1" applyAlignment="1">
      <alignment horizontal="center" vertical="center" wrapText="1"/>
    </xf>
    <xf numFmtId="0" fontId="54" fillId="28" borderId="1" xfId="14" applyFont="1" applyFill="1" applyBorder="1" applyAlignment="1">
      <alignment horizontal="center" vertical="center" wrapText="1"/>
    </xf>
    <xf numFmtId="0" fontId="52" fillId="28" borderId="1" xfId="14" applyFont="1" applyFill="1" applyBorder="1" applyAlignment="1">
      <alignment horizontal="center" vertical="center" wrapText="1"/>
    </xf>
    <xf numFmtId="0" fontId="52" fillId="2" borderId="1" xfId="14" applyFont="1" applyFill="1" applyBorder="1" applyAlignment="1">
      <alignment horizontal="center" vertical="center" wrapText="1"/>
    </xf>
    <xf numFmtId="0" fontId="52" fillId="6" borderId="1" xfId="14" applyFont="1" applyFill="1" applyBorder="1" applyAlignment="1">
      <alignment horizontal="center" vertical="center" wrapText="1"/>
    </xf>
    <xf numFmtId="0" fontId="50" fillId="2" borderId="32" xfId="14" applyFont="1" applyFill="1" applyBorder="1" applyAlignment="1">
      <alignment horizontal="center" vertical="center" wrapText="1"/>
    </xf>
    <xf numFmtId="0" fontId="50" fillId="26" borderId="32" xfId="14" applyFont="1" applyFill="1" applyBorder="1" applyAlignment="1">
      <alignment horizontal="center" vertical="center" wrapText="1"/>
    </xf>
    <xf numFmtId="2" fontId="50" fillId="26" borderId="0" xfId="14" applyNumberFormat="1" applyFont="1" applyFill="1" applyBorder="1" applyAlignment="1">
      <alignment horizontal="center" vertical="center" wrapText="1"/>
    </xf>
    <xf numFmtId="0" fontId="47" fillId="26" borderId="3" xfId="14" applyFont="1" applyFill="1" applyBorder="1" applyAlignment="1">
      <alignment horizontal="center" vertical="center" wrapText="1"/>
    </xf>
    <xf numFmtId="0" fontId="55" fillId="0" borderId="0" xfId="14" applyFont="1"/>
    <xf numFmtId="0" fontId="47" fillId="27" borderId="1" xfId="14" applyFont="1" applyFill="1" applyBorder="1" applyAlignment="1">
      <alignment horizontal="left" vertical="center" wrapText="1"/>
    </xf>
    <xf numFmtId="2" fontId="52" fillId="28" borderId="1" xfId="14" applyNumberFormat="1" applyFont="1" applyFill="1" applyBorder="1" applyAlignment="1">
      <alignment horizontal="center" vertical="center" wrapText="1"/>
    </xf>
    <xf numFmtId="2" fontId="50" fillId="0" borderId="0" xfId="14" applyNumberFormat="1" applyFont="1" applyFill="1" applyBorder="1" applyAlignment="1">
      <alignment horizontal="center" vertical="center" wrapText="1"/>
    </xf>
    <xf numFmtId="2" fontId="50" fillId="2" borderId="1" xfId="14" applyNumberFormat="1" applyFont="1" applyFill="1" applyBorder="1" applyAlignment="1">
      <alignment vertical="center" wrapText="1"/>
    </xf>
    <xf numFmtId="2" fontId="50" fillId="17" borderId="1" xfId="14" applyNumberFormat="1" applyFont="1" applyFill="1" applyBorder="1" applyAlignment="1">
      <alignment vertical="center" wrapText="1"/>
    </xf>
    <xf numFmtId="2" fontId="50" fillId="6" borderId="1" xfId="14" applyNumberFormat="1" applyFont="1" applyFill="1" applyBorder="1" applyAlignment="1">
      <alignment horizontal="center" vertical="center" wrapText="1"/>
    </xf>
    <xf numFmtId="2" fontId="50" fillId="6" borderId="0" xfId="14" applyNumberFormat="1" applyFont="1" applyFill="1" applyBorder="1" applyAlignment="1">
      <alignment horizontal="center" vertical="center" wrapText="1"/>
    </xf>
    <xf numFmtId="2" fontId="50" fillId="0" borderId="0" xfId="14" applyNumberFormat="1" applyFont="1" applyFill="1" applyBorder="1" applyAlignment="1">
      <alignment vertical="center" wrapText="1"/>
    </xf>
    <xf numFmtId="2" fontId="50" fillId="17" borderId="1" xfId="14" applyNumberFormat="1" applyFont="1" applyFill="1" applyBorder="1" applyAlignment="1">
      <alignment horizontal="center" vertical="center" wrapText="1"/>
    </xf>
    <xf numFmtId="0" fontId="47" fillId="0" borderId="1" xfId="14" applyFont="1" applyFill="1" applyBorder="1" applyAlignment="1">
      <alignment horizontal="center" vertical="center" wrapText="1"/>
    </xf>
    <xf numFmtId="2" fontId="47" fillId="2" borderId="1" xfId="14" applyNumberFormat="1" applyFont="1" applyFill="1" applyBorder="1" applyAlignment="1">
      <alignment horizontal="center" vertical="center" wrapText="1"/>
    </xf>
    <xf numFmtId="0" fontId="45" fillId="0" borderId="0" xfId="14" applyFont="1" applyAlignment="1">
      <alignment vertical="center" wrapText="1"/>
    </xf>
    <xf numFmtId="0" fontId="45" fillId="0" borderId="0" xfId="14" applyFont="1" applyFill="1" applyAlignment="1">
      <alignment vertical="center" wrapText="1"/>
    </xf>
    <xf numFmtId="0" fontId="50" fillId="2" borderId="1" xfId="14" applyFont="1" applyFill="1" applyBorder="1" applyAlignment="1">
      <alignment vertical="center" wrapText="1"/>
    </xf>
    <xf numFmtId="0" fontId="50" fillId="17" borderId="1" xfId="14" applyFont="1" applyFill="1" applyBorder="1" applyAlignment="1">
      <alignment vertical="center" wrapText="1"/>
    </xf>
    <xf numFmtId="0" fontId="50" fillId="6" borderId="1" xfId="14" applyFont="1" applyFill="1" applyBorder="1" applyAlignment="1">
      <alignment horizontal="center" vertical="center" wrapText="1"/>
    </xf>
    <xf numFmtId="0" fontId="50" fillId="6" borderId="0" xfId="14" applyFont="1" applyFill="1" applyBorder="1" applyAlignment="1">
      <alignment horizontal="center" vertical="center" wrapText="1"/>
    </xf>
    <xf numFmtId="0" fontId="50" fillId="0" borderId="0" xfId="14" applyFont="1" applyFill="1" applyBorder="1" applyAlignment="1">
      <alignment vertical="center" wrapText="1"/>
    </xf>
    <xf numFmtId="0" fontId="50" fillId="17" borderId="1" xfId="14" applyFont="1" applyFill="1" applyBorder="1" applyAlignment="1">
      <alignment horizontal="center" vertical="center" wrapText="1"/>
    </xf>
    <xf numFmtId="0" fontId="47" fillId="17" borderId="9" xfId="14" applyFont="1" applyFill="1" applyBorder="1" applyAlignment="1">
      <alignment horizontal="center" vertical="center" wrapText="1"/>
    </xf>
    <xf numFmtId="0" fontId="47" fillId="17" borderId="13" xfId="14" applyFont="1" applyFill="1" applyBorder="1" applyAlignment="1">
      <alignment horizontal="center" vertical="center" wrapText="1"/>
    </xf>
    <xf numFmtId="0" fontId="47" fillId="23" borderId="13" xfId="14" applyFont="1" applyFill="1" applyBorder="1" applyAlignment="1">
      <alignment horizontal="center" vertical="center" wrapText="1"/>
    </xf>
    <xf numFmtId="0" fontId="53" fillId="17" borderId="7" xfId="14" applyFont="1" applyFill="1" applyBorder="1" applyAlignment="1">
      <alignment horizontal="center" vertical="center" wrapText="1"/>
    </xf>
    <xf numFmtId="0" fontId="47" fillId="23" borderId="7" xfId="14" applyFont="1" applyFill="1" applyBorder="1" applyAlignment="1">
      <alignment horizontal="center" vertical="center" wrapText="1"/>
    </xf>
    <xf numFmtId="0" fontId="53" fillId="17" borderId="9" xfId="14" applyFont="1" applyFill="1" applyBorder="1" applyAlignment="1">
      <alignment horizontal="center" vertical="center" wrapText="1"/>
    </xf>
    <xf numFmtId="0" fontId="53" fillId="24" borderId="7" xfId="14" applyFont="1" applyFill="1" applyBorder="1" applyAlignment="1">
      <alignment horizontal="center" vertical="center" wrapText="1"/>
    </xf>
    <xf numFmtId="0" fontId="47" fillId="0" borderId="7" xfId="14" applyFont="1" applyFill="1" applyBorder="1" applyAlignment="1">
      <alignment horizontal="center" vertical="center" wrapText="1"/>
    </xf>
    <xf numFmtId="2" fontId="50" fillId="6" borderId="11" xfId="14" applyNumberFormat="1" applyFont="1" applyFill="1" applyBorder="1" applyAlignment="1">
      <alignment horizontal="center" vertical="center" wrapText="1"/>
    </xf>
    <xf numFmtId="2" fontId="50" fillId="0" borderId="11" xfId="14" applyNumberFormat="1" applyFont="1" applyFill="1" applyBorder="1" applyAlignment="1">
      <alignment vertical="center" wrapText="1"/>
    </xf>
    <xf numFmtId="0" fontId="13" fillId="0" borderId="0" xfId="0" applyFont="1"/>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center" vertical="center"/>
    </xf>
    <xf numFmtId="0" fontId="16" fillId="0" borderId="1" xfId="0" applyFont="1" applyBorder="1" applyAlignment="1">
      <alignment horizontal="center" vertical="center"/>
    </xf>
    <xf numFmtId="0" fontId="50" fillId="0" borderId="1" xfId="14" applyFont="1" applyBorder="1" applyAlignment="1">
      <alignment horizontal="center" vertical="center"/>
    </xf>
    <xf numFmtId="0" fontId="47" fillId="0" borderId="1" xfId="14" applyFont="1" applyBorder="1"/>
    <xf numFmtId="2" fontId="47" fillId="0" borderId="1" xfId="14" applyNumberFormat="1" applyFont="1" applyBorder="1" applyAlignment="1">
      <alignment horizontal="center" vertical="center"/>
    </xf>
    <xf numFmtId="0" fontId="47" fillId="0" borderId="1" xfId="14" applyFont="1" applyBorder="1" applyAlignment="1">
      <alignment vertical="center"/>
    </xf>
    <xf numFmtId="2" fontId="50" fillId="0" borderId="1" xfId="14" applyNumberFormat="1" applyFont="1" applyBorder="1" applyAlignment="1">
      <alignment horizontal="center" vertical="center"/>
    </xf>
    <xf numFmtId="0" fontId="42" fillId="11" borderId="4" xfId="13" applyFont="1" applyFill="1" applyBorder="1" applyAlignment="1">
      <alignment horizontal="center" vertical="center"/>
    </xf>
    <xf numFmtId="0" fontId="58" fillId="11" borderId="1" xfId="13" applyFont="1" applyFill="1" applyBorder="1" applyAlignment="1">
      <alignment horizontal="center" vertical="center" wrapText="1"/>
    </xf>
    <xf numFmtId="0" fontId="59" fillId="11" borderId="1" xfId="13" applyFont="1" applyFill="1" applyBorder="1" applyAlignment="1">
      <alignment horizontal="center" vertical="center" wrapText="1"/>
    </xf>
    <xf numFmtId="0" fontId="57" fillId="20" borderId="1" xfId="13" applyFont="1" applyFill="1" applyBorder="1" applyAlignment="1">
      <alignment vertical="center" wrapText="1"/>
    </xf>
    <xf numFmtId="3" fontId="57" fillId="20" borderId="1" xfId="13" applyNumberFormat="1" applyFont="1" applyFill="1" applyBorder="1" applyAlignment="1">
      <alignment horizontal="center" vertical="center"/>
    </xf>
    <xf numFmtId="3" fontId="57" fillId="20" borderId="1" xfId="13" applyNumberFormat="1" applyFont="1" applyFill="1" applyBorder="1" applyAlignment="1">
      <alignment horizontal="center" vertical="center" wrapText="1"/>
    </xf>
    <xf numFmtId="0" fontId="57" fillId="20" borderId="1" xfId="13" applyFont="1" applyFill="1" applyBorder="1" applyAlignment="1">
      <alignment horizontal="center" vertical="center" wrapText="1"/>
    </xf>
    <xf numFmtId="0" fontId="60" fillId="11" borderId="1" xfId="13" applyFont="1" applyFill="1" applyBorder="1" applyAlignment="1">
      <alignment vertical="center"/>
    </xf>
    <xf numFmtId="3" fontId="60" fillId="11" borderId="1" xfId="13" applyNumberFormat="1" applyFont="1" applyFill="1" applyBorder="1" applyAlignment="1">
      <alignment horizontal="center" vertical="center"/>
    </xf>
    <xf numFmtId="3" fontId="60" fillId="11" borderId="1" xfId="13" applyNumberFormat="1" applyFont="1" applyFill="1" applyBorder="1" applyAlignment="1">
      <alignment horizontal="center" vertical="center" wrapText="1"/>
    </xf>
    <xf numFmtId="0" fontId="60" fillId="11" borderId="1" xfId="13" applyFont="1" applyFill="1" applyBorder="1" applyAlignment="1">
      <alignment horizontal="center" vertical="center" wrapText="1"/>
    </xf>
    <xf numFmtId="0" fontId="57" fillId="20" borderId="1" xfId="13" applyFont="1" applyFill="1" applyBorder="1" applyAlignment="1">
      <alignment horizontal="center" vertical="center"/>
    </xf>
    <xf numFmtId="4" fontId="57" fillId="20" borderId="1" xfId="13" applyNumberFormat="1" applyFont="1" applyFill="1" applyBorder="1" applyAlignment="1">
      <alignment horizontal="center" vertical="center"/>
    </xf>
    <xf numFmtId="4" fontId="57" fillId="20" borderId="1" xfId="13" applyNumberFormat="1" applyFont="1" applyFill="1" applyBorder="1" applyAlignment="1">
      <alignment horizontal="center" vertical="center" wrapText="1"/>
    </xf>
    <xf numFmtId="192" fontId="57" fillId="20" borderId="1" xfId="12" applyNumberFormat="1" applyFont="1" applyFill="1" applyBorder="1" applyAlignment="1">
      <alignment horizontal="center" vertical="center" wrapText="1"/>
    </xf>
    <xf numFmtId="0" fontId="60" fillId="11" borderId="1" xfId="13" applyFont="1" applyFill="1" applyBorder="1" applyAlignment="1">
      <alignment horizontal="center" vertical="center"/>
    </xf>
    <xf numFmtId="0" fontId="50" fillId="0" borderId="1" xfId="13" applyFont="1" applyBorder="1" applyAlignment="1">
      <alignment horizontal="center" vertical="center"/>
    </xf>
    <xf numFmtId="3" fontId="50" fillId="0" borderId="1" xfId="13" applyNumberFormat="1" applyFont="1" applyBorder="1" applyAlignment="1">
      <alignment horizontal="center" vertical="center"/>
    </xf>
    <xf numFmtId="0" fontId="42" fillId="11" borderId="1" xfId="13" applyFont="1" applyFill="1" applyBorder="1" applyAlignment="1">
      <alignment horizontal="center" vertical="center"/>
    </xf>
    <xf numFmtId="0" fontId="2" fillId="0" borderId="1" xfId="13" applyBorder="1"/>
    <xf numFmtId="0" fontId="45" fillId="0" borderId="0" xfId="13" applyFont="1"/>
    <xf numFmtId="0" fontId="56" fillId="0" borderId="0" xfId="13" applyFont="1"/>
    <xf numFmtId="0" fontId="61" fillId="11" borderId="1" xfId="13" applyFont="1" applyFill="1" applyBorder="1" applyAlignment="1">
      <alignment horizontal="center" vertical="center" wrapText="1"/>
    </xf>
    <xf numFmtId="0" fontId="61" fillId="0" borderId="1" xfId="13" applyFont="1" applyBorder="1" applyAlignment="1">
      <alignment vertical="center" wrapText="1"/>
    </xf>
    <xf numFmtId="3" fontId="61" fillId="11" borderId="1" xfId="13" applyNumberFormat="1" applyFont="1" applyFill="1" applyBorder="1" applyAlignment="1">
      <alignment horizontal="center" vertical="center" wrapText="1"/>
    </xf>
    <xf numFmtId="4" fontId="61" fillId="11" borderId="1" xfId="13" applyNumberFormat="1" applyFont="1" applyFill="1" applyBorder="1" applyAlignment="1">
      <alignment horizontal="center" vertical="center" wrapText="1"/>
    </xf>
    <xf numFmtId="2" fontId="61" fillId="20" borderId="1" xfId="13" applyNumberFormat="1" applyFont="1" applyFill="1" applyBorder="1" applyAlignment="1">
      <alignment horizontal="center" vertical="center" wrapText="1"/>
    </xf>
    <xf numFmtId="0" fontId="63" fillId="0" borderId="1" xfId="13" applyFont="1" applyBorder="1" applyAlignment="1">
      <alignment vertical="center" wrapText="1"/>
    </xf>
    <xf numFmtId="4" fontId="63" fillId="11" borderId="1" xfId="13" applyNumberFormat="1" applyFont="1" applyFill="1" applyBorder="1" applyAlignment="1">
      <alignment horizontal="center" vertical="center" wrapText="1"/>
    </xf>
    <xf numFmtId="2" fontId="63" fillId="11" borderId="1" xfId="13" applyNumberFormat="1" applyFont="1" applyFill="1" applyBorder="1" applyAlignment="1">
      <alignment horizontal="center" vertical="center" wrapText="1"/>
    </xf>
    <xf numFmtId="0" fontId="62" fillId="0" borderId="1" xfId="13" applyFont="1" applyBorder="1" applyAlignment="1">
      <alignment horizontal="center" vertical="center" wrapText="1"/>
    </xf>
    <xf numFmtId="3" fontId="63" fillId="0" borderId="1" xfId="13" applyNumberFormat="1" applyFont="1" applyBorder="1" applyAlignment="1">
      <alignment horizontal="center" vertical="center" wrapText="1"/>
    </xf>
    <xf numFmtId="0" fontId="63" fillId="0" borderId="1" xfId="13" applyFont="1" applyBorder="1" applyAlignment="1">
      <alignment horizontal="center" vertical="center" wrapText="1"/>
    </xf>
    <xf numFmtId="2" fontId="61" fillId="0" borderId="1" xfId="13" applyNumberFormat="1" applyFont="1" applyBorder="1" applyAlignment="1">
      <alignment horizontal="center" vertical="center" wrapText="1"/>
    </xf>
    <xf numFmtId="0" fontId="50" fillId="15" borderId="1" xfId="0" applyFont="1" applyFill="1" applyBorder="1" applyAlignment="1">
      <alignment horizontal="center" vertical="center" wrapText="1"/>
    </xf>
    <xf numFmtId="0" fontId="50" fillId="19" borderId="1" xfId="0" applyFont="1" applyFill="1" applyBorder="1" applyAlignment="1">
      <alignment horizontal="center" vertical="center" wrapText="1"/>
    </xf>
    <xf numFmtId="0" fontId="50" fillId="19" borderId="1" xfId="0" applyFont="1" applyFill="1" applyBorder="1" applyAlignment="1">
      <alignment horizontal="center" vertical="center"/>
    </xf>
    <xf numFmtId="0" fontId="50" fillId="0" borderId="1" xfId="0" applyFont="1" applyBorder="1" applyAlignment="1">
      <alignment vertical="center" wrapText="1"/>
    </xf>
    <xf numFmtId="0" fontId="47" fillId="0" borderId="1" xfId="0" applyFont="1" applyBorder="1" applyAlignment="1">
      <alignment vertical="center" wrapText="1"/>
    </xf>
    <xf numFmtId="0" fontId="47" fillId="0" borderId="1" xfId="0" applyFont="1" applyBorder="1" applyAlignment="1">
      <alignment vertical="center"/>
    </xf>
    <xf numFmtId="0" fontId="64" fillId="20" borderId="1" xfId="0" applyFont="1" applyFill="1" applyBorder="1" applyAlignment="1">
      <alignment vertical="center" wrapText="1"/>
    </xf>
    <xf numFmtId="0" fontId="65" fillId="20" borderId="1" xfId="0" applyFont="1" applyFill="1" applyBorder="1" applyAlignment="1">
      <alignment vertical="center" wrapText="1"/>
    </xf>
    <xf numFmtId="0" fontId="65" fillId="20" borderId="1" xfId="0" applyFont="1" applyFill="1" applyBorder="1" applyAlignment="1">
      <alignment vertical="center"/>
    </xf>
    <xf numFmtId="0" fontId="47" fillId="0" borderId="1" xfId="0" applyFont="1" applyBorder="1" applyAlignment="1">
      <alignment horizontal="left" vertical="top" wrapText="1"/>
    </xf>
    <xf numFmtId="0" fontId="47" fillId="0" borderId="1" xfId="0" applyFont="1" applyBorder="1" applyAlignment="1">
      <alignment horizontal="center" vertical="center" wrapText="1"/>
    </xf>
    <xf numFmtId="0" fontId="47" fillId="0" borderId="1" xfId="0" applyFont="1" applyBorder="1" applyAlignment="1">
      <alignment horizontal="justify" vertical="center" wrapText="1"/>
    </xf>
    <xf numFmtId="0" fontId="47" fillId="0" borderId="1" xfId="0" applyFont="1" applyBorder="1" applyAlignment="1">
      <alignment vertical="top" wrapText="1"/>
    </xf>
    <xf numFmtId="0" fontId="65" fillId="0" borderId="1" xfId="0" applyFont="1" applyBorder="1" applyAlignment="1">
      <alignment vertical="center"/>
    </xf>
    <xf numFmtId="0" fontId="50" fillId="16" borderId="1" xfId="0" applyFont="1" applyFill="1" applyBorder="1" applyAlignment="1">
      <alignment vertical="center" wrapText="1"/>
    </xf>
    <xf numFmtId="0" fontId="50" fillId="14" borderId="1" xfId="0" applyFont="1" applyFill="1" applyBorder="1" applyAlignment="1">
      <alignment vertical="center" wrapText="1"/>
    </xf>
    <xf numFmtId="0" fontId="47" fillId="14" borderId="1" xfId="0" applyFont="1" applyFill="1" applyBorder="1" applyAlignment="1">
      <alignment vertical="center" wrapText="1"/>
    </xf>
    <xf numFmtId="0" fontId="47" fillId="14" borderId="1" xfId="0" applyFont="1" applyFill="1" applyBorder="1" applyAlignment="1">
      <alignment vertical="center"/>
    </xf>
    <xf numFmtId="0" fontId="53" fillId="0" borderId="1" xfId="0" applyFont="1" applyBorder="1" applyAlignment="1">
      <alignment vertical="center" wrapText="1"/>
    </xf>
    <xf numFmtId="0" fontId="47" fillId="22" borderId="1" xfId="0" applyFont="1" applyFill="1" applyBorder="1" applyAlignment="1">
      <alignment vertical="center" wrapText="1"/>
    </xf>
    <xf numFmtId="0" fontId="47" fillId="22"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47" fillId="0" borderId="1" xfId="0" applyFont="1" applyBorder="1" applyAlignment="1">
      <alignment horizontal="center" vertical="top" wrapText="1"/>
    </xf>
    <xf numFmtId="0" fontId="53" fillId="0" borderId="1" xfId="0" applyFont="1" applyBorder="1" applyAlignment="1">
      <alignment horizontal="center" vertical="center" wrapText="1"/>
    </xf>
    <xf numFmtId="2" fontId="47" fillId="0" borderId="1" xfId="0" applyNumberFormat="1" applyFont="1" applyBorder="1" applyAlignment="1">
      <alignment horizontal="center" vertical="center" wrapText="1"/>
    </xf>
    <xf numFmtId="2" fontId="47" fillId="0" borderId="1" xfId="0" applyNumberFormat="1" applyFont="1" applyBorder="1" applyAlignment="1">
      <alignment vertical="center" wrapText="1"/>
    </xf>
    <xf numFmtId="0" fontId="47" fillId="14" borderId="1" xfId="0" applyFont="1" applyFill="1" applyBorder="1" applyAlignment="1">
      <alignment horizontal="justify" vertical="center" wrapText="1"/>
    </xf>
    <xf numFmtId="0" fontId="52" fillId="0" borderId="1" xfId="0" applyFont="1" applyBorder="1" applyAlignment="1">
      <alignment vertical="center"/>
    </xf>
    <xf numFmtId="2" fontId="47" fillId="22" borderId="1" xfId="0" applyNumberFormat="1" applyFont="1" applyFill="1" applyBorder="1" applyAlignment="1">
      <alignment horizontal="center" vertical="center" wrapText="1"/>
    </xf>
    <xf numFmtId="0" fontId="53" fillId="22" borderId="1" xfId="0" applyFont="1" applyFill="1" applyBorder="1" applyAlignment="1">
      <alignment horizontal="center" vertical="center" wrapText="1"/>
    </xf>
    <xf numFmtId="0" fontId="53" fillId="22" borderId="1" xfId="0" applyFont="1" applyFill="1" applyBorder="1" applyAlignment="1">
      <alignment vertical="center" wrapText="1"/>
    </xf>
    <xf numFmtId="0" fontId="50" fillId="20" borderId="1" xfId="0" applyFont="1" applyFill="1" applyBorder="1" applyAlignment="1">
      <alignment vertical="center" wrapText="1"/>
    </xf>
    <xf numFmtId="0" fontId="47" fillId="20" borderId="1" xfId="0" applyFont="1" applyFill="1" applyBorder="1" applyAlignment="1">
      <alignment vertical="center" wrapText="1"/>
    </xf>
    <xf numFmtId="0" fontId="47" fillId="0" borderId="1" xfId="0" applyFont="1" applyBorder="1"/>
    <xf numFmtId="2" fontId="50" fillId="0" borderId="1" xfId="0" applyNumberFormat="1" applyFont="1" applyBorder="1" applyAlignment="1">
      <alignment horizontal="center" vertical="center"/>
    </xf>
    <xf numFmtId="0" fontId="45" fillId="0" borderId="0" xfId="0" applyFont="1"/>
    <xf numFmtId="0" fontId="70" fillId="0" borderId="1" xfId="0" applyFont="1" applyBorder="1" applyAlignment="1">
      <alignment horizontal="center" vertical="center" wrapText="1"/>
    </xf>
    <xf numFmtId="0" fontId="71" fillId="0" borderId="1" xfId="0" applyFont="1" applyBorder="1" applyAlignment="1">
      <alignment horizontal="center" vertical="center"/>
    </xf>
    <xf numFmtId="0" fontId="6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45" fillId="0" borderId="1" xfId="0" applyFont="1" applyBorder="1" applyAlignment="1">
      <alignment horizontal="center" vertical="center"/>
    </xf>
    <xf numFmtId="0" fontId="56" fillId="0" borderId="1" xfId="0" applyFont="1" applyBorder="1" applyAlignment="1">
      <alignment horizontal="center" vertical="center"/>
    </xf>
    <xf numFmtId="2" fontId="45" fillId="0" borderId="1" xfId="0" applyNumberFormat="1" applyFont="1" applyBorder="1" applyAlignment="1">
      <alignment horizontal="center" vertical="center"/>
    </xf>
    <xf numFmtId="2" fontId="56" fillId="0" borderId="1" xfId="0" applyNumberFormat="1" applyFont="1" applyBorder="1" applyAlignment="1">
      <alignment horizontal="center" vertical="center"/>
    </xf>
    <xf numFmtId="0" fontId="47" fillId="0" borderId="1" xfId="0" applyFont="1" applyBorder="1" applyAlignment="1">
      <alignment horizontal="left" vertical="center" wrapText="1"/>
    </xf>
    <xf numFmtId="0" fontId="68" fillId="0" borderId="7" xfId="0" applyFont="1" applyBorder="1" applyAlignment="1">
      <alignment horizontal="left" vertical="center" wrapText="1"/>
    </xf>
    <xf numFmtId="0" fontId="45" fillId="0" borderId="1" xfId="0" applyFont="1" applyBorder="1" applyAlignment="1">
      <alignment horizontal="center"/>
    </xf>
    <xf numFmtId="0" fontId="72" fillId="0" borderId="1" xfId="0" applyFont="1" applyBorder="1" applyAlignment="1">
      <alignment horizontal="center" vertical="center"/>
    </xf>
    <xf numFmtId="2" fontId="68" fillId="0" borderId="1" xfId="0" applyNumberFormat="1" applyFont="1" applyBorder="1" applyAlignment="1">
      <alignment horizontal="center" vertical="center" wrapText="1"/>
    </xf>
    <xf numFmtId="2" fontId="45" fillId="0" borderId="1" xfId="0" applyNumberFormat="1" applyFont="1" applyBorder="1" applyAlignment="1">
      <alignment horizontal="center"/>
    </xf>
    <xf numFmtId="0" fontId="68" fillId="18" borderId="1" xfId="0" applyFont="1" applyFill="1" applyBorder="1" applyAlignment="1">
      <alignment horizontal="center" vertical="center" wrapText="1"/>
    </xf>
    <xf numFmtId="0" fontId="45" fillId="20" borderId="1" xfId="0" applyFont="1" applyFill="1" applyBorder="1" applyAlignment="1">
      <alignment horizontal="center"/>
    </xf>
    <xf numFmtId="0" fontId="56" fillId="20" borderId="1" xfId="0" applyFont="1" applyFill="1" applyBorder="1" applyAlignment="1">
      <alignment horizontal="center"/>
    </xf>
    <xf numFmtId="2" fontId="45" fillId="20" borderId="1" xfId="0" applyNumberFormat="1" applyFont="1" applyFill="1" applyBorder="1" applyAlignment="1">
      <alignment horizontal="center"/>
    </xf>
    <xf numFmtId="2" fontId="73" fillId="21" borderId="1" xfId="0" applyNumberFormat="1" applyFont="1" applyFill="1" applyBorder="1" applyAlignment="1">
      <alignment horizontal="center" vertical="center"/>
    </xf>
    <xf numFmtId="2" fontId="56" fillId="21" borderId="1" xfId="0" applyNumberFormat="1" applyFont="1" applyFill="1" applyBorder="1" applyAlignment="1">
      <alignment horizontal="center" vertical="center"/>
    </xf>
    <xf numFmtId="0" fontId="45" fillId="0" borderId="0" xfId="0" applyFont="1" applyAlignment="1">
      <alignment horizontal="center" vertical="center"/>
    </xf>
    <xf numFmtId="2" fontId="45" fillId="0" borderId="16" xfId="0" applyNumberFormat="1" applyFont="1" applyBorder="1" applyAlignment="1">
      <alignment horizontal="center" vertical="center"/>
    </xf>
    <xf numFmtId="0" fontId="45" fillId="0" borderId="0" xfId="0" applyFont="1" applyAlignment="1">
      <alignment horizontal="center"/>
    </xf>
    <xf numFmtId="0" fontId="47" fillId="21" borderId="1" xfId="0" applyFont="1" applyFill="1" applyBorder="1" applyAlignment="1">
      <alignment horizontal="center" vertical="center" wrapText="1"/>
    </xf>
    <xf numFmtId="0" fontId="47" fillId="21" borderId="1" xfId="0" applyFont="1" applyFill="1" applyBorder="1" applyAlignment="1">
      <alignment horizontal="justify" vertical="center" wrapText="1"/>
    </xf>
    <xf numFmtId="0" fontId="68" fillId="21" borderId="1" xfId="0" applyFont="1" applyFill="1" applyBorder="1" applyAlignment="1">
      <alignment horizontal="center" vertical="center" wrapText="1"/>
    </xf>
    <xf numFmtId="0" fontId="69" fillId="21" borderId="1" xfId="0" applyFont="1" applyFill="1" applyBorder="1" applyAlignment="1">
      <alignment horizontal="center" vertical="center" wrapText="1"/>
    </xf>
    <xf numFmtId="0" fontId="45" fillId="21" borderId="1" xfId="0" applyFont="1" applyFill="1" applyBorder="1" applyAlignment="1">
      <alignment horizontal="center" vertical="center"/>
    </xf>
    <xf numFmtId="0" fontId="56" fillId="21" borderId="1" xfId="0" applyFont="1" applyFill="1" applyBorder="1" applyAlignment="1">
      <alignment horizontal="center" vertical="center"/>
    </xf>
    <xf numFmtId="2" fontId="45" fillId="21" borderId="1" xfId="0" applyNumberFormat="1" applyFont="1" applyFill="1" applyBorder="1" applyAlignment="1">
      <alignment horizontal="center" vertical="center"/>
    </xf>
    <xf numFmtId="0" fontId="47" fillId="21" borderId="1" xfId="0" applyFont="1" applyFill="1" applyBorder="1" applyAlignment="1">
      <alignment horizontal="left" vertical="center" wrapText="1"/>
    </xf>
    <xf numFmtId="0" fontId="45" fillId="21" borderId="1" xfId="0" applyFont="1" applyFill="1" applyBorder="1" applyAlignment="1">
      <alignment horizontal="center"/>
    </xf>
    <xf numFmtId="0" fontId="68" fillId="29" borderId="1" xfId="0" applyFont="1" applyFill="1" applyBorder="1" applyAlignment="1">
      <alignment horizontal="center" vertical="center" wrapText="1"/>
    </xf>
    <xf numFmtId="2" fontId="50" fillId="0" borderId="1" xfId="0" applyNumberFormat="1" applyFont="1" applyBorder="1" applyAlignment="1">
      <alignment horizontal="center" vertical="center" wrapText="1"/>
    </xf>
    <xf numFmtId="2" fontId="60" fillId="0" borderId="1" xfId="0" applyNumberFormat="1" applyFont="1" applyBorder="1" applyAlignment="1">
      <alignment horizontal="center" vertical="center" wrapText="1"/>
    </xf>
    <xf numFmtId="2" fontId="74" fillId="20" borderId="1" xfId="0" applyNumberFormat="1" applyFont="1" applyFill="1" applyBorder="1" applyAlignment="1">
      <alignment horizontal="center" vertical="center" wrapText="1"/>
    </xf>
    <xf numFmtId="0" fontId="60" fillId="0" borderId="1" xfId="0" applyFont="1" applyBorder="1" applyAlignment="1">
      <alignment horizontal="left" vertical="center" wrapText="1" indent="1"/>
    </xf>
    <xf numFmtId="0" fontId="60" fillId="0" borderId="1" xfId="0" applyFont="1" applyBorder="1" applyAlignment="1">
      <alignment horizontal="center" vertical="center" wrapText="1"/>
    </xf>
    <xf numFmtId="2" fontId="74" fillId="2" borderId="1" xfId="0" applyNumberFormat="1" applyFont="1" applyFill="1" applyBorder="1" applyAlignment="1">
      <alignment horizontal="center" vertical="center" wrapText="1"/>
    </xf>
    <xf numFmtId="2" fontId="50" fillId="20" borderId="1" xfId="0" applyNumberFormat="1" applyFont="1" applyFill="1" applyBorder="1" applyAlignment="1">
      <alignment horizontal="center" vertical="center" wrapText="1"/>
    </xf>
    <xf numFmtId="49" fontId="60" fillId="0" borderId="1" xfId="0" applyNumberFormat="1" applyFont="1" applyBorder="1" applyAlignment="1">
      <alignment horizontal="left" vertical="center" wrapText="1" indent="1"/>
    </xf>
    <xf numFmtId="0" fontId="75" fillId="0" borderId="0" xfId="0" applyFont="1"/>
    <xf numFmtId="14" fontId="75" fillId="0" borderId="0" xfId="0" applyNumberFormat="1" applyFont="1"/>
    <xf numFmtId="0" fontId="45" fillId="0" borderId="1" xfId="14" applyFont="1" applyBorder="1" applyAlignment="1">
      <alignment horizontal="center" vertical="center" wrapText="1"/>
    </xf>
    <xf numFmtId="0" fontId="45" fillId="0" borderId="1" xfId="14" applyFont="1" applyBorder="1" applyAlignment="1">
      <alignment horizontal="center"/>
    </xf>
    <xf numFmtId="0" fontId="56" fillId="3" borderId="1" xfId="14" applyFont="1" applyFill="1" applyBorder="1" applyAlignment="1">
      <alignment horizontal="center"/>
    </xf>
    <xf numFmtId="2" fontId="56" fillId="3" borderId="1" xfId="14" applyNumberFormat="1" applyFont="1" applyFill="1" applyBorder="1" applyAlignment="1">
      <alignment horizontal="center"/>
    </xf>
    <xf numFmtId="0" fontId="45" fillId="0" borderId="16" xfId="14" applyFont="1" applyBorder="1" applyAlignment="1">
      <alignment horizontal="center"/>
    </xf>
    <xf numFmtId="0" fontId="56" fillId="20" borderId="1" xfId="14" applyFont="1" applyFill="1" applyBorder="1" applyAlignment="1">
      <alignment horizontal="center" vertical="center"/>
    </xf>
    <xf numFmtId="0" fontId="56" fillId="3" borderId="1" xfId="14" applyFont="1" applyFill="1" applyBorder="1" applyAlignment="1">
      <alignment vertical="center"/>
    </xf>
    <xf numFmtId="2" fontId="45" fillId="0" borderId="1" xfId="14" applyNumberFormat="1" applyFont="1" applyBorder="1" applyAlignment="1">
      <alignment horizontal="center" vertical="center"/>
    </xf>
    <xf numFmtId="2" fontId="56" fillId="3" borderId="1" xfId="14" applyNumberFormat="1" applyFont="1" applyFill="1" applyBorder="1" applyAlignment="1">
      <alignment horizontal="center" vertical="center"/>
    </xf>
    <xf numFmtId="2" fontId="56" fillId="20" borderId="1" xfId="14" applyNumberFormat="1" applyFont="1" applyFill="1" applyBorder="1" applyAlignment="1">
      <alignment horizontal="center" vertical="center"/>
    </xf>
    <xf numFmtId="2" fontId="76" fillId="20" borderId="1" xfId="14" applyNumberFormat="1" applyFont="1" applyFill="1" applyBorder="1" applyAlignment="1">
      <alignment horizontal="center" vertical="center"/>
    </xf>
    <xf numFmtId="2" fontId="45" fillId="0" borderId="16" xfId="14" applyNumberFormat="1" applyFont="1" applyBorder="1" applyAlignment="1">
      <alignment horizontal="center" vertical="center"/>
    </xf>
    <xf numFmtId="0" fontId="58" fillId="11" borderId="1" xfId="13" applyFont="1" applyFill="1" applyBorder="1" applyAlignment="1">
      <alignment horizontal="center" vertical="center"/>
    </xf>
    <xf numFmtId="0" fontId="42" fillId="11" borderId="36" xfId="13" applyFont="1" applyFill="1" applyBorder="1" applyAlignment="1">
      <alignment horizontal="center" vertical="center"/>
    </xf>
    <xf numFmtId="0" fontId="45" fillId="0" borderId="1" xfId="13" applyFont="1" applyBorder="1" applyAlignment="1">
      <alignment horizontal="center" vertical="center"/>
    </xf>
    <xf numFmtId="0" fontId="56" fillId="0" borderId="1" xfId="13" applyFont="1" applyBorder="1" applyAlignment="1">
      <alignment horizontal="center" vertical="center"/>
    </xf>
    <xf numFmtId="0" fontId="45" fillId="0" borderId="1" xfId="13" applyFont="1" applyBorder="1"/>
    <xf numFmtId="43" fontId="45" fillId="0" borderId="1" xfId="12" applyFont="1" applyBorder="1" applyAlignment="1">
      <alignment horizontal="center" vertical="center"/>
    </xf>
    <xf numFmtId="43" fontId="45" fillId="0" borderId="1" xfId="13" applyNumberFormat="1" applyFont="1" applyBorder="1"/>
    <xf numFmtId="0" fontId="56" fillId="0" borderId="1" xfId="13" applyFont="1" applyBorder="1"/>
    <xf numFmtId="43" fontId="56" fillId="0" borderId="1" xfId="12" applyFont="1" applyBorder="1" applyAlignment="1">
      <alignment horizontal="center" vertical="center"/>
    </xf>
    <xf numFmtId="43" fontId="56" fillId="0" borderId="1" xfId="12" applyFont="1" applyBorder="1"/>
    <xf numFmtId="0" fontId="77" fillId="0" borderId="1" xfId="0" applyFont="1" applyBorder="1" applyAlignment="1">
      <alignment horizontal="center" vertical="center"/>
    </xf>
    <xf numFmtId="0" fontId="77" fillId="0" borderId="1" xfId="0" applyFont="1" applyBorder="1" applyAlignment="1">
      <alignment horizontal="left" vertical="center"/>
    </xf>
    <xf numFmtId="4" fontId="77" fillId="0" borderId="1" xfId="0" applyNumberFormat="1" applyFont="1" applyBorder="1" applyAlignment="1">
      <alignment horizontal="center" vertical="center"/>
    </xf>
    <xf numFmtId="4" fontId="57" fillId="0" borderId="1" xfId="0" applyNumberFormat="1" applyFont="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left" vertical="center"/>
    </xf>
    <xf numFmtId="0" fontId="16" fillId="6" borderId="1" xfId="0" applyFont="1" applyFill="1" applyBorder="1" applyAlignment="1" applyProtection="1">
      <alignment horizontal="left" vertical="center" wrapText="1"/>
      <protection hidden="1"/>
    </xf>
    <xf numFmtId="0" fontId="50" fillId="26" borderId="1" xfId="14" applyFont="1" applyFill="1" applyBorder="1" applyAlignment="1">
      <alignment horizontal="center" vertical="center" wrapText="1"/>
    </xf>
    <xf numFmtId="0" fontId="50" fillId="0" borderId="1" xfId="14" applyFont="1" applyBorder="1" applyAlignment="1">
      <alignment horizontal="center" vertical="center" wrapText="1"/>
    </xf>
    <xf numFmtId="0" fontId="47" fillId="0" borderId="1" xfId="14" applyFont="1" applyBorder="1" applyAlignment="1">
      <alignment horizontal="center" vertical="center"/>
    </xf>
    <xf numFmtId="0" fontId="58" fillId="11" borderId="1" xfId="13" applyFont="1" applyFill="1" applyBorder="1" applyAlignment="1">
      <alignment horizontal="center" vertical="center"/>
    </xf>
    <xf numFmtId="0" fontId="62" fillId="0" borderId="1" xfId="13" applyFont="1" applyBorder="1" applyAlignment="1">
      <alignment horizontal="center" vertical="center" wrapText="1"/>
    </xf>
    <xf numFmtId="0" fontId="43" fillId="0" borderId="39" xfId="0" applyFont="1" applyBorder="1" applyAlignment="1">
      <alignment horizontal="center" vertical="center" wrapText="1"/>
    </xf>
    <xf numFmtId="0" fontId="43" fillId="0" borderId="3" xfId="0" applyFont="1" applyBorder="1" applyAlignment="1">
      <alignment horizontal="center" vertical="center" wrapText="1"/>
    </xf>
    <xf numFmtId="0" fontId="53" fillId="17" borderId="13" xfId="14" applyFont="1" applyFill="1" applyBorder="1" applyAlignment="1">
      <alignment horizontal="center" vertical="center" wrapText="1"/>
    </xf>
    <xf numFmtId="0" fontId="47" fillId="17" borderId="6" xfId="14" applyFont="1" applyFill="1" applyBorder="1" applyAlignment="1">
      <alignment horizontal="center" vertical="center" wrapText="1"/>
    </xf>
    <xf numFmtId="2" fontId="47" fillId="17" borderId="7" xfId="14" applyNumberFormat="1" applyFont="1" applyFill="1" applyBorder="1" applyAlignment="1">
      <alignment horizontal="center" vertical="center" wrapText="1"/>
    </xf>
    <xf numFmtId="0" fontId="47" fillId="2" borderId="0" xfId="14" applyFont="1" applyFill="1" applyBorder="1" applyAlignment="1">
      <alignment horizontal="center" vertical="center" wrapText="1"/>
    </xf>
    <xf numFmtId="0" fontId="50" fillId="25" borderId="14" xfId="14" applyFont="1" applyFill="1" applyBorder="1" applyAlignment="1">
      <alignment horizontal="justify" vertical="center" wrapText="1"/>
    </xf>
    <xf numFmtId="0" fontId="50" fillId="25" borderId="11" xfId="14" applyFont="1" applyFill="1" applyBorder="1" applyAlignment="1">
      <alignment horizontal="center" vertical="center" wrapText="1"/>
    </xf>
    <xf numFmtId="0" fontId="50" fillId="4" borderId="11" xfId="14" applyFont="1" applyFill="1" applyBorder="1" applyAlignment="1">
      <alignment horizontal="center" vertical="center" wrapText="1"/>
    </xf>
    <xf numFmtId="0" fontId="50" fillId="4" borderId="9" xfId="14" applyFont="1" applyFill="1" applyBorder="1" applyAlignment="1">
      <alignment horizontal="center" vertical="center" wrapText="1"/>
    </xf>
    <xf numFmtId="0" fontId="43" fillId="0" borderId="1" xfId="0" applyFont="1" applyBorder="1" applyAlignment="1">
      <alignment vertical="center" wrapText="1"/>
    </xf>
    <xf numFmtId="0" fontId="43" fillId="17" borderId="1" xfId="0" applyFont="1" applyFill="1" applyBorder="1" applyAlignment="1">
      <alignment horizontal="center" vertical="center" wrapText="1"/>
    </xf>
    <xf numFmtId="0" fontId="50" fillId="0" borderId="12" xfId="14" applyFont="1" applyBorder="1" applyAlignment="1">
      <alignment horizontal="justify" vertical="center" wrapText="1"/>
    </xf>
    <xf numFmtId="0" fontId="50" fillId="0" borderId="10" xfId="14" applyFont="1" applyBorder="1" applyAlignment="1">
      <alignment horizontal="center" vertical="center" wrapText="1"/>
    </xf>
    <xf numFmtId="0" fontId="50" fillId="2" borderId="10" xfId="14" applyFont="1" applyFill="1" applyBorder="1" applyAlignment="1">
      <alignment horizontal="center" vertical="center" wrapText="1"/>
    </xf>
    <xf numFmtId="0" fontId="50" fillId="0" borderId="13" xfId="14" applyFont="1" applyBorder="1" applyAlignment="1">
      <alignment horizontal="center" vertical="center" wrapText="1"/>
    </xf>
    <xf numFmtId="0" fontId="50" fillId="0" borderId="33" xfId="14" applyFont="1" applyBorder="1" applyAlignment="1">
      <alignment vertical="center" wrapText="1"/>
    </xf>
    <xf numFmtId="0" fontId="47" fillId="0" borderId="0" xfId="14" applyFont="1" applyBorder="1" applyAlignment="1">
      <alignment horizontal="center" vertical="center" wrapText="1"/>
    </xf>
    <xf numFmtId="0" fontId="47" fillId="0" borderId="35" xfId="14" applyFont="1" applyBorder="1" applyAlignment="1">
      <alignment horizontal="center" vertical="center" wrapText="1"/>
    </xf>
    <xf numFmtId="0" fontId="50" fillId="2" borderId="16" xfId="14" applyFont="1" applyFill="1" applyBorder="1" applyAlignment="1">
      <alignment horizontal="center" vertical="center" wrapText="1"/>
    </xf>
    <xf numFmtId="0" fontId="50" fillId="26" borderId="16" xfId="14" applyFont="1" applyFill="1" applyBorder="1" applyAlignment="1">
      <alignment horizontal="center" vertical="center" wrapText="1"/>
    </xf>
    <xf numFmtId="2" fontId="50" fillId="26" borderId="16" xfId="14" applyNumberFormat="1" applyFont="1" applyFill="1" applyBorder="1" applyAlignment="1">
      <alignment horizontal="center" vertical="center" wrapText="1"/>
    </xf>
    <xf numFmtId="2" fontId="50" fillId="23" borderId="1" xfId="14" applyNumberFormat="1" applyFont="1" applyFill="1" applyBorder="1" applyAlignment="1">
      <alignment horizontal="center" vertical="center" wrapText="1"/>
    </xf>
    <xf numFmtId="0" fontId="50" fillId="25" borderId="1" xfId="14" applyFont="1" applyFill="1" applyBorder="1" applyAlignment="1">
      <alignment horizontal="justify" vertical="center" wrapText="1"/>
    </xf>
    <xf numFmtId="0" fontId="50" fillId="25" borderId="1" xfId="14" applyFont="1" applyFill="1" applyBorder="1" applyAlignment="1">
      <alignment horizontal="center" vertical="center" wrapText="1"/>
    </xf>
    <xf numFmtId="0" fontId="50" fillId="4" borderId="1" xfId="14" applyFont="1" applyFill="1" applyBorder="1" applyAlignment="1">
      <alignment horizontal="center" vertical="center" wrapText="1"/>
    </xf>
    <xf numFmtId="0" fontId="50" fillId="0" borderId="1" xfId="14" applyFont="1" applyBorder="1" applyAlignment="1">
      <alignment horizontal="justify" vertical="center" wrapText="1"/>
    </xf>
    <xf numFmtId="0" fontId="50" fillId="0" borderId="1" xfId="14" applyFont="1" applyBorder="1" applyAlignment="1">
      <alignment vertical="center" wrapText="1"/>
    </xf>
    <xf numFmtId="0" fontId="47" fillId="0" borderId="1" xfId="14" applyFont="1" applyBorder="1" applyAlignment="1">
      <alignment horizontal="center" vertical="center" wrapText="1"/>
    </xf>
    <xf numFmtId="0" fontId="47" fillId="25" borderId="1" xfId="14" applyFont="1" applyFill="1" applyBorder="1" applyAlignment="1">
      <alignment horizontal="center" vertical="center" wrapText="1"/>
    </xf>
    <xf numFmtId="0" fontId="47" fillId="4" borderId="1" xfId="14" applyFont="1" applyFill="1" applyBorder="1" applyAlignment="1">
      <alignment horizontal="center" vertical="center" wrapText="1"/>
    </xf>
    <xf numFmtId="0" fontId="42" fillId="17" borderId="1" xfId="0" applyFont="1" applyFill="1" applyBorder="1" applyAlignment="1">
      <alignment horizontal="center" vertical="center" wrapText="1"/>
    </xf>
    <xf numFmtId="0" fontId="78" fillId="0" borderId="0" xfId="13" applyFont="1"/>
    <xf numFmtId="0" fontId="71" fillId="0" borderId="0" xfId="13" applyFont="1"/>
    <xf numFmtId="0" fontId="59" fillId="11" borderId="5" xfId="13" applyFont="1" applyFill="1" applyBorder="1" applyAlignment="1">
      <alignment horizontal="center" vertical="center"/>
    </xf>
    <xf numFmtId="0" fontId="59" fillId="11" borderId="1" xfId="13" applyFont="1" applyFill="1" applyBorder="1" applyAlignment="1">
      <alignment horizontal="center" vertical="center"/>
    </xf>
    <xf numFmtId="0" fontId="58" fillId="20" borderId="1" xfId="13" applyFont="1" applyFill="1" applyBorder="1" applyAlignment="1">
      <alignment vertical="center" wrapText="1"/>
    </xf>
    <xf numFmtId="4" fontId="59"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39" xfId="0" applyNumberFormat="1" applyFont="1" applyBorder="1" applyAlignment="1">
      <alignment horizontal="right" vertical="center" wrapText="1"/>
    </xf>
    <xf numFmtId="0" fontId="59" fillId="11" borderId="4" xfId="13" applyFont="1" applyFill="1" applyBorder="1" applyAlignment="1">
      <alignment horizontal="center" vertical="center"/>
    </xf>
    <xf numFmtId="4" fontId="59" fillId="0" borderId="40" xfId="0" applyNumberFormat="1" applyFont="1" applyBorder="1" applyAlignment="1">
      <alignment horizontal="right" vertical="center"/>
    </xf>
    <xf numFmtId="4" fontId="59" fillId="0" borderId="3" xfId="0" applyNumberFormat="1" applyFont="1" applyBorder="1" applyAlignment="1">
      <alignment horizontal="right" vertical="center"/>
    </xf>
    <xf numFmtId="4" fontId="59" fillId="0" borderId="3" xfId="0" applyNumberFormat="1" applyFont="1" applyBorder="1" applyAlignment="1">
      <alignment horizontal="right" vertical="center" wrapText="1"/>
    </xf>
    <xf numFmtId="3" fontId="78" fillId="0" borderId="0" xfId="13" applyNumberFormat="1" applyFont="1"/>
    <xf numFmtId="0" fontId="59" fillId="11" borderId="36" xfId="13" applyFont="1" applyFill="1" applyBorder="1" applyAlignment="1">
      <alignment horizontal="center"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9" fillId="0" borderId="42" xfId="0" applyNumberFormat="1" applyFont="1" applyBorder="1" applyAlignment="1">
      <alignment horizontal="right" vertical="center" wrapText="1"/>
    </xf>
    <xf numFmtId="0" fontId="79" fillId="11" borderId="1" xfId="13" applyFont="1" applyFill="1" applyBorder="1" applyAlignment="1">
      <alignment vertical="center"/>
    </xf>
    <xf numFmtId="4" fontId="80" fillId="0" borderId="41" xfId="0" applyNumberFormat="1" applyFont="1" applyBorder="1" applyAlignment="1">
      <alignment horizontal="right" vertical="center"/>
    </xf>
    <xf numFmtId="0" fontId="59" fillId="0" borderId="42" xfId="0" applyFont="1" applyBorder="1" applyAlignment="1">
      <alignment horizontal="right" vertical="center"/>
    </xf>
    <xf numFmtId="4" fontId="80" fillId="0" borderId="42" xfId="0" applyNumberFormat="1" applyFont="1" applyBorder="1" applyAlignment="1">
      <alignment horizontal="right" vertical="center" wrapText="1"/>
    </xf>
    <xf numFmtId="4" fontId="80" fillId="0" borderId="40" xfId="0" applyNumberFormat="1" applyFont="1" applyBorder="1" applyAlignment="1">
      <alignment horizontal="right" vertical="center"/>
    </xf>
    <xf numFmtId="3" fontId="59" fillId="0" borderId="3" xfId="0" applyNumberFormat="1" applyFont="1" applyBorder="1" applyAlignment="1">
      <alignment horizontal="right" vertical="center"/>
    </xf>
    <xf numFmtId="3" fontId="80" fillId="0" borderId="3" xfId="0" applyNumberFormat="1" applyFont="1" applyBorder="1" applyAlignment="1">
      <alignment horizontal="right" vertical="center" wrapText="1"/>
    </xf>
    <xf numFmtId="3" fontId="80" fillId="0" borderId="40" xfId="0" applyNumberFormat="1" applyFont="1" applyBorder="1" applyAlignment="1">
      <alignment horizontal="center" vertical="center"/>
    </xf>
    <xf numFmtId="3" fontId="59" fillId="0" borderId="3" xfId="0" applyNumberFormat="1" applyFont="1" applyBorder="1" applyAlignment="1">
      <alignment horizontal="center" vertical="center"/>
    </xf>
    <xf numFmtId="3" fontId="80" fillId="0" borderId="3" xfId="0" applyNumberFormat="1" applyFont="1" applyBorder="1" applyAlignment="1">
      <alignment horizontal="center" vertical="center" wrapText="1"/>
    </xf>
    <xf numFmtId="3" fontId="59" fillId="0" borderId="40" xfId="0" applyNumberFormat="1" applyFont="1" applyBorder="1" applyAlignment="1">
      <alignment horizontal="center" vertical="center"/>
    </xf>
    <xf numFmtId="0" fontId="59" fillId="0" borderId="3" xfId="0" applyFont="1" applyBorder="1" applyAlignment="1">
      <alignment horizontal="center" vertical="center"/>
    </xf>
    <xf numFmtId="3" fontId="59" fillId="0" borderId="3" xfId="0" applyNumberFormat="1" applyFont="1" applyBorder="1" applyAlignment="1">
      <alignment horizontal="center" vertical="center" wrapText="1"/>
    </xf>
    <xf numFmtId="0" fontId="78" fillId="0" borderId="1" xfId="13" applyFont="1" applyBorder="1"/>
    <xf numFmtId="0" fontId="71" fillId="0" borderId="1" xfId="13" applyFont="1" applyBorder="1" applyAlignment="1">
      <alignment horizontal="center" vertical="center"/>
    </xf>
    <xf numFmtId="4" fontId="58" fillId="0" borderId="38" xfId="0" applyNumberFormat="1" applyFont="1" applyBorder="1" applyAlignment="1">
      <alignment horizontal="center" vertical="center"/>
    </xf>
    <xf numFmtId="3" fontId="58" fillId="0" borderId="39" xfId="0" applyNumberFormat="1" applyFont="1" applyBorder="1" applyAlignment="1">
      <alignment horizontal="center" vertical="center"/>
    </xf>
    <xf numFmtId="4" fontId="58" fillId="0" borderId="39" xfId="0" applyNumberFormat="1" applyFont="1" applyBorder="1" applyAlignment="1">
      <alignment horizontal="center" vertical="center" wrapText="1"/>
    </xf>
    <xf numFmtId="0" fontId="71" fillId="0" borderId="0" xfId="13" applyFont="1" applyAlignment="1">
      <alignment horizontal="center" vertical="center"/>
    </xf>
    <xf numFmtId="0" fontId="59" fillId="11" borderId="8" xfId="13" applyFont="1" applyFill="1" applyBorder="1" applyAlignment="1">
      <alignment horizontal="center" vertical="center" wrapText="1"/>
    </xf>
    <xf numFmtId="0" fontId="59" fillId="0" borderId="4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44"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4" xfId="0" applyFont="1" applyBorder="1" applyAlignment="1">
      <alignment horizontal="center" vertical="center" wrapText="1"/>
    </xf>
    <xf numFmtId="0" fontId="58" fillId="0" borderId="45" xfId="0" applyFont="1" applyBorder="1" applyAlignment="1">
      <alignment horizontal="center" vertical="center" wrapText="1"/>
    </xf>
    <xf numFmtId="43" fontId="78" fillId="0" borderId="1" xfId="12" applyFont="1" applyBorder="1"/>
    <xf numFmtId="2" fontId="78" fillId="0" borderId="1" xfId="13" applyNumberFormat="1" applyFont="1" applyBorder="1"/>
    <xf numFmtId="0" fontId="46" fillId="3" borderId="1" xfId="14" applyFont="1" applyFill="1" applyBorder="1" applyAlignment="1">
      <alignment horizontal="center" vertical="center" wrapText="1"/>
    </xf>
    <xf numFmtId="0" fontId="46" fillId="3" borderId="15" xfId="14" applyFont="1" applyFill="1" applyBorder="1" applyAlignment="1">
      <alignment horizontal="center" vertical="center" wrapText="1"/>
    </xf>
    <xf numFmtId="0" fontId="46" fillId="2" borderId="8" xfId="14" applyFont="1" applyFill="1" applyBorder="1" applyAlignment="1">
      <alignment horizontal="center" vertical="center" wrapText="1"/>
    </xf>
    <xf numFmtId="0" fontId="46" fillId="2" borderId="6" xfId="14" applyFont="1" applyFill="1" applyBorder="1" applyAlignment="1">
      <alignment horizontal="center" vertical="center" wrapText="1"/>
    </xf>
    <xf numFmtId="0" fontId="46" fillId="2" borderId="7" xfId="14" applyFont="1" applyFill="1" applyBorder="1" applyAlignment="1">
      <alignment horizontal="center" vertical="center" wrapText="1"/>
    </xf>
    <xf numFmtId="0" fontId="46" fillId="6" borderId="1" xfId="14" applyFont="1" applyFill="1" applyBorder="1" applyAlignment="1">
      <alignment horizontal="center" vertical="center" wrapText="1"/>
    </xf>
    <xf numFmtId="0" fontId="46" fillId="6" borderId="15" xfId="14" applyFont="1" applyFill="1" applyBorder="1" applyAlignment="1">
      <alignment horizontal="center" vertical="center" wrapText="1"/>
    </xf>
    <xf numFmtId="0" fontId="50" fillId="0" borderId="1" xfId="14" applyFont="1" applyBorder="1" applyAlignment="1">
      <alignment horizontal="right" vertical="center" wrapText="1"/>
    </xf>
    <xf numFmtId="0" fontId="50" fillId="26" borderId="16" xfId="14" applyFont="1" applyFill="1" applyBorder="1" applyAlignment="1">
      <alignment horizontal="center" vertical="center" wrapText="1"/>
    </xf>
    <xf numFmtId="0" fontId="50" fillId="26" borderId="33" xfId="14" applyFont="1" applyFill="1" applyBorder="1" applyAlignment="1">
      <alignment horizontal="center" vertical="center" wrapText="1"/>
    </xf>
    <xf numFmtId="0" fontId="50" fillId="26" borderId="0" xfId="14" applyFont="1" applyFill="1" applyBorder="1" applyAlignment="1">
      <alignment horizontal="center" vertical="center" wrapText="1"/>
    </xf>
    <xf numFmtId="0" fontId="50" fillId="26" borderId="32" xfId="14" applyFont="1" applyFill="1" applyBorder="1" applyAlignment="1">
      <alignment horizontal="center" vertical="center" wrapText="1"/>
    </xf>
    <xf numFmtId="0" fontId="50" fillId="0" borderId="1" xfId="14" applyFont="1" applyBorder="1" applyAlignment="1">
      <alignment horizontal="center" vertical="center" wrapText="1"/>
    </xf>
    <xf numFmtId="0" fontId="50" fillId="0" borderId="15" xfId="14" applyFont="1" applyBorder="1" applyAlignment="1">
      <alignment horizontal="center" vertical="center" wrapText="1"/>
    </xf>
    <xf numFmtId="0" fontId="50" fillId="17" borderId="8" xfId="14" applyFont="1" applyFill="1" applyBorder="1" applyAlignment="1">
      <alignment horizontal="center" vertical="center" wrapText="1"/>
    </xf>
    <xf numFmtId="0" fontId="50" fillId="17" borderId="6" xfId="14" applyFont="1" applyFill="1" applyBorder="1" applyAlignment="1">
      <alignment horizontal="center" vertical="center" wrapText="1"/>
    </xf>
    <xf numFmtId="0" fontId="50" fillId="17" borderId="7" xfId="14" applyFont="1" applyFill="1" applyBorder="1" applyAlignment="1">
      <alignment horizontal="center" vertical="center" wrapText="1"/>
    </xf>
    <xf numFmtId="0" fontId="46" fillId="17" borderId="1" xfId="14" applyFont="1" applyFill="1" applyBorder="1" applyAlignment="1">
      <alignment horizontal="center" vertical="center" wrapText="1"/>
    </xf>
    <xf numFmtId="0" fontId="46" fillId="17" borderId="15" xfId="14" applyFont="1" applyFill="1" applyBorder="1" applyAlignment="1">
      <alignment horizontal="center" vertical="center" wrapText="1"/>
    </xf>
    <xf numFmtId="0" fontId="50" fillId="26" borderId="1" xfId="14" applyFont="1" applyFill="1" applyBorder="1" applyAlignment="1">
      <alignment horizontal="center" vertical="center" wrapText="1"/>
    </xf>
    <xf numFmtId="0" fontId="50" fillId="17" borderId="10" xfId="14" applyFont="1" applyFill="1" applyBorder="1" applyAlignment="1">
      <alignment horizontal="center" vertical="center" wrapText="1"/>
    </xf>
    <xf numFmtId="0" fontId="50" fillId="17" borderId="13" xfId="14" applyFont="1" applyFill="1" applyBorder="1" applyAlignment="1">
      <alignment horizontal="center" vertical="center" wrapText="1"/>
    </xf>
    <xf numFmtId="0" fontId="50" fillId="17" borderId="0" xfId="14" applyFont="1" applyFill="1" applyBorder="1" applyAlignment="1">
      <alignment horizontal="center" vertical="center" wrapText="1"/>
    </xf>
    <xf numFmtId="0" fontId="50" fillId="17" borderId="35" xfId="14" applyFont="1" applyFill="1" applyBorder="1" applyAlignment="1">
      <alignment horizontal="center" vertical="center" wrapText="1"/>
    </xf>
    <xf numFmtId="0" fontId="46" fillId="0" borderId="1" xfId="14" applyFont="1" applyBorder="1" applyAlignment="1">
      <alignment horizontal="center" vertical="center" wrapText="1"/>
    </xf>
    <xf numFmtId="0" fontId="46" fillId="6" borderId="8" xfId="14" applyFont="1" applyFill="1" applyBorder="1" applyAlignment="1">
      <alignment horizontal="center" vertical="center" wrapText="1"/>
    </xf>
    <xf numFmtId="0" fontId="46" fillId="6" borderId="6" xfId="14" applyFont="1" applyFill="1" applyBorder="1" applyAlignment="1">
      <alignment horizontal="center" vertical="center" wrapText="1"/>
    </xf>
    <xf numFmtId="0" fontId="46" fillId="6" borderId="7" xfId="14" applyFont="1" applyFill="1" applyBorder="1" applyAlignment="1">
      <alignment horizontal="center" vertical="center" wrapText="1"/>
    </xf>
    <xf numFmtId="0" fontId="46" fillId="17" borderId="8" xfId="14" applyFont="1" applyFill="1" applyBorder="1" applyAlignment="1">
      <alignment horizontal="center" vertical="center" wrapText="1"/>
    </xf>
    <xf numFmtId="0" fontId="46" fillId="17" borderId="6" xfId="14" applyFont="1" applyFill="1" applyBorder="1" applyAlignment="1">
      <alignment horizontal="center" vertical="center" wrapText="1"/>
    </xf>
    <xf numFmtId="0" fontId="46" fillId="17" borderId="7" xfId="14" applyFont="1" applyFill="1" applyBorder="1" applyAlignment="1">
      <alignment horizontal="center" vertical="center" wrapText="1"/>
    </xf>
    <xf numFmtId="0" fontId="50" fillId="0" borderId="7" xfId="14" applyFont="1" applyBorder="1" applyAlignment="1">
      <alignment horizontal="center" vertical="center"/>
    </xf>
    <xf numFmtId="0" fontId="50" fillId="0" borderId="1" xfId="14" applyFont="1" applyBorder="1" applyAlignment="1">
      <alignment horizontal="center" vertical="center"/>
    </xf>
    <xf numFmtId="0" fontId="50" fillId="0" borderId="1" xfId="14" applyFont="1" applyBorder="1" applyAlignment="1">
      <alignment horizontal="left" vertical="center"/>
    </xf>
    <xf numFmtId="0" fontId="47" fillId="0" borderId="1" xfId="14" applyFont="1" applyBorder="1" applyAlignment="1">
      <alignment horizontal="center" vertical="center"/>
    </xf>
    <xf numFmtId="0" fontId="50" fillId="0" borderId="0" xfId="14" applyFont="1" applyBorder="1" applyAlignment="1">
      <alignment horizontal="left"/>
    </xf>
    <xf numFmtId="0" fontId="58" fillId="11" borderId="5" xfId="13" applyFont="1" applyFill="1" applyBorder="1" applyAlignment="1">
      <alignment horizontal="center" vertical="center"/>
    </xf>
    <xf numFmtId="0" fontId="58" fillId="11" borderId="4" xfId="13" applyFont="1" applyFill="1" applyBorder="1" applyAlignment="1">
      <alignment horizontal="center" vertical="center"/>
    </xf>
    <xf numFmtId="0" fontId="58" fillId="11" borderId="1" xfId="13" applyFont="1" applyFill="1" applyBorder="1" applyAlignment="1">
      <alignment horizontal="center" vertical="center"/>
    </xf>
    <xf numFmtId="0" fontId="59" fillId="11" borderId="5" xfId="13" applyFont="1" applyFill="1" applyBorder="1" applyAlignment="1">
      <alignment horizontal="center" vertical="center"/>
    </xf>
    <xf numFmtId="0" fontId="59" fillId="11" borderId="36" xfId="13" applyFont="1" applyFill="1" applyBorder="1" applyAlignment="1">
      <alignment horizontal="center" vertical="center"/>
    </xf>
    <xf numFmtId="0" fontId="59" fillId="11" borderId="37" xfId="13" applyFont="1" applyFill="1" applyBorder="1" applyAlignment="1">
      <alignment horizontal="center" vertical="center"/>
    </xf>
    <xf numFmtId="0" fontId="58" fillId="11" borderId="15" xfId="13" applyFont="1" applyFill="1" applyBorder="1" applyAlignment="1">
      <alignment horizontal="center" vertical="center"/>
    </xf>
    <xf numFmtId="0" fontId="58" fillId="11" borderId="16" xfId="13" applyFont="1" applyFill="1" applyBorder="1" applyAlignment="1">
      <alignment horizontal="center" vertical="center"/>
    </xf>
    <xf numFmtId="0" fontId="61" fillId="0" borderId="1" xfId="13" applyFont="1" applyBorder="1" applyAlignment="1">
      <alignment horizontal="center" vertical="center" wrapText="1"/>
    </xf>
    <xf numFmtId="0" fontId="61" fillId="11" borderId="1" xfId="13" applyFont="1" applyFill="1" applyBorder="1" applyAlignment="1">
      <alignment horizontal="center" vertical="center" wrapText="1"/>
    </xf>
    <xf numFmtId="0" fontId="62" fillId="0" borderId="1" xfId="13" applyFont="1" applyBorder="1" applyAlignment="1">
      <alignment horizontal="center" vertical="center" wrapText="1"/>
    </xf>
    <xf numFmtId="0" fontId="50" fillId="17" borderId="1" xfId="0" applyFont="1" applyFill="1" applyBorder="1" applyAlignment="1">
      <alignment vertical="center" wrapText="1"/>
    </xf>
    <xf numFmtId="0" fontId="47" fillId="0" borderId="1" xfId="0" applyFont="1" applyBorder="1" applyAlignment="1">
      <alignment horizontal="center" vertical="top" wrapText="1"/>
    </xf>
    <xf numFmtId="0" fontId="47" fillId="0" borderId="1" xfId="0" applyFont="1" applyBorder="1" applyAlignment="1">
      <alignment horizontal="center" vertical="center" wrapText="1"/>
    </xf>
    <xf numFmtId="0" fontId="47" fillId="22" borderId="1" xfId="0" applyFont="1" applyFill="1" applyBorder="1" applyAlignment="1">
      <alignment horizontal="center" vertical="center" wrapText="1"/>
    </xf>
    <xf numFmtId="2" fontId="47" fillId="22" borderId="1" xfId="0" applyNumberFormat="1" applyFont="1" applyFill="1" applyBorder="1" applyAlignment="1">
      <alignment horizontal="center" vertical="center" wrapText="1"/>
    </xf>
    <xf numFmtId="0" fontId="50" fillId="16" borderId="1" xfId="0" applyFont="1" applyFill="1" applyBorder="1" applyAlignment="1">
      <alignment vertical="center" wrapText="1"/>
    </xf>
    <xf numFmtId="2" fontId="47" fillId="0" borderId="1" xfId="0" applyNumberFormat="1" applyFont="1" applyBorder="1" applyAlignment="1">
      <alignment horizontal="center" vertical="center" wrapText="1"/>
    </xf>
    <xf numFmtId="0" fontId="47" fillId="0" borderId="1" xfId="0" applyFont="1" applyBorder="1" applyAlignment="1">
      <alignment vertical="center" wrapText="1"/>
    </xf>
    <xf numFmtId="0" fontId="50" fillId="16" borderId="8" xfId="0" applyFont="1" applyFill="1" applyBorder="1" applyAlignment="1">
      <alignment horizontal="left" vertical="center" wrapText="1"/>
    </xf>
    <xf numFmtId="0" fontId="50" fillId="16" borderId="6" xfId="0" applyFont="1" applyFill="1" applyBorder="1" applyAlignment="1">
      <alignment horizontal="left" vertical="center" wrapText="1"/>
    </xf>
    <xf numFmtId="0" fontId="50" fillId="16" borderId="7" xfId="0" applyFont="1" applyFill="1" applyBorder="1" applyAlignment="1">
      <alignment horizontal="left" vertical="center" wrapText="1"/>
    </xf>
    <xf numFmtId="0" fontId="47" fillId="0" borderId="15" xfId="0" applyFont="1" applyBorder="1" applyAlignment="1">
      <alignment horizontal="left" vertical="center"/>
    </xf>
    <xf numFmtId="0" fontId="47" fillId="0" borderId="34" xfId="0" applyFont="1" applyBorder="1" applyAlignment="1">
      <alignment horizontal="left" vertical="center"/>
    </xf>
    <xf numFmtId="0" fontId="47" fillId="0" borderId="16" xfId="0" applyFont="1" applyBorder="1" applyAlignment="1">
      <alignment horizontal="left" vertical="center"/>
    </xf>
    <xf numFmtId="0" fontId="47" fillId="0" borderId="15" xfId="0" applyFont="1" applyBorder="1" applyAlignment="1">
      <alignment horizontal="center" vertical="center"/>
    </xf>
    <xf numFmtId="0" fontId="47" fillId="0" borderId="34" xfId="0" applyFont="1" applyBorder="1" applyAlignment="1">
      <alignment horizontal="center" vertical="center"/>
    </xf>
    <xf numFmtId="0" fontId="47" fillId="0" borderId="16" xfId="0" applyFont="1" applyBorder="1" applyAlignment="1">
      <alignment horizontal="center" vertical="center"/>
    </xf>
    <xf numFmtId="0" fontId="47" fillId="0" borderId="1" xfId="0" applyNumberFormat="1" applyFont="1" applyBorder="1" applyAlignment="1">
      <alignment horizontal="center" vertical="center" wrapText="1"/>
    </xf>
    <xf numFmtId="2" fontId="45" fillId="21" borderId="15" xfId="0" applyNumberFormat="1" applyFont="1" applyFill="1" applyBorder="1" applyAlignment="1">
      <alignment horizontal="center" vertical="center"/>
    </xf>
    <xf numFmtId="0" fontId="45" fillId="21" borderId="34" xfId="0" applyFont="1" applyFill="1" applyBorder="1" applyAlignment="1">
      <alignment horizontal="center" vertical="center"/>
    </xf>
    <xf numFmtId="0" fontId="45" fillId="21" borderId="16" xfId="0" applyFont="1" applyFill="1" applyBorder="1" applyAlignment="1">
      <alignment horizontal="center" vertical="center"/>
    </xf>
    <xf numFmtId="2" fontId="56" fillId="0" borderId="15" xfId="0" applyNumberFormat="1" applyFont="1" applyBorder="1" applyAlignment="1">
      <alignment horizontal="center" vertical="center"/>
    </xf>
    <xf numFmtId="2" fontId="56" fillId="0" borderId="16" xfId="0" applyNumberFormat="1" applyFont="1" applyBorder="1" applyAlignment="1">
      <alignment horizontal="center" vertical="center"/>
    </xf>
    <xf numFmtId="2" fontId="45" fillId="0" borderId="15" xfId="0" applyNumberFormat="1" applyFont="1" applyBorder="1" applyAlignment="1">
      <alignment horizontal="center" vertical="center"/>
    </xf>
    <xf numFmtId="2" fontId="45" fillId="0" borderId="16" xfId="0" applyNumberFormat="1" applyFont="1" applyBorder="1" applyAlignment="1">
      <alignment horizontal="center" vertical="center"/>
    </xf>
    <xf numFmtId="0" fontId="56" fillId="21" borderId="15" xfId="0" applyFont="1" applyFill="1" applyBorder="1" applyAlignment="1">
      <alignment horizontal="center" vertical="center"/>
    </xf>
    <xf numFmtId="0" fontId="56" fillId="21" borderId="34" xfId="0" applyFont="1" applyFill="1" applyBorder="1" applyAlignment="1">
      <alignment horizontal="center" vertical="center"/>
    </xf>
    <xf numFmtId="0" fontId="56" fillId="21" borderId="16" xfId="0" applyFont="1" applyFill="1" applyBorder="1" applyAlignment="1">
      <alignment horizontal="center" vertical="center"/>
    </xf>
    <xf numFmtId="0" fontId="68" fillId="0" borderId="1" xfId="0" applyFont="1" applyBorder="1" applyAlignment="1">
      <alignment horizontal="center" vertical="center"/>
    </xf>
    <xf numFmtId="0" fontId="56" fillId="21" borderId="8" xfId="0" applyFont="1" applyFill="1" applyBorder="1" applyAlignment="1">
      <alignment horizontal="right" vertical="center"/>
    </xf>
    <xf numFmtId="0" fontId="56" fillId="21" borderId="6" xfId="0" applyFont="1" applyFill="1" applyBorder="1" applyAlignment="1">
      <alignment horizontal="right" vertical="center"/>
    </xf>
    <xf numFmtId="0" fontId="56" fillId="21" borderId="7" xfId="0" applyFont="1" applyFill="1" applyBorder="1" applyAlignment="1">
      <alignment horizontal="right" vertical="center"/>
    </xf>
    <xf numFmtId="0" fontId="56" fillId="20" borderId="8" xfId="0" applyFont="1" applyFill="1" applyBorder="1" applyAlignment="1">
      <alignment horizontal="right" vertical="center" wrapText="1"/>
    </xf>
    <xf numFmtId="0" fontId="56" fillId="20" borderId="6" xfId="0" applyFont="1" applyFill="1" applyBorder="1" applyAlignment="1">
      <alignment horizontal="right" vertical="center" wrapText="1"/>
    </xf>
    <xf numFmtId="0" fontId="56" fillId="20" borderId="7" xfId="0" applyFont="1" applyFill="1" applyBorder="1" applyAlignment="1">
      <alignment horizontal="right" vertical="center" wrapText="1"/>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 xfId="0" applyFont="1" applyBorder="1" applyAlignment="1">
      <alignment horizontal="left" vertical="center" wrapText="1"/>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45" fillId="21" borderId="15" xfId="0" applyFont="1" applyFill="1" applyBorder="1" applyAlignment="1">
      <alignment horizontal="center" vertical="center"/>
    </xf>
    <xf numFmtId="0" fontId="68" fillId="0" borderId="8" xfId="0" applyFont="1" applyBorder="1" applyAlignment="1">
      <alignment horizontal="left" vertical="center" wrapText="1"/>
    </xf>
    <xf numFmtId="0" fontId="68" fillId="0" borderId="6" xfId="0" applyFont="1" applyBorder="1" applyAlignment="1">
      <alignment horizontal="left" vertical="center" wrapText="1"/>
    </xf>
    <xf numFmtId="0" fontId="68" fillId="0" borderId="7" xfId="0" applyFont="1" applyBorder="1" applyAlignment="1">
      <alignment horizontal="left" vertical="center" wrapText="1"/>
    </xf>
    <xf numFmtId="2" fontId="69" fillId="21" borderId="15" xfId="0" applyNumberFormat="1" applyFont="1" applyFill="1" applyBorder="1" applyAlignment="1">
      <alignment horizontal="center" vertical="center" wrapText="1"/>
    </xf>
    <xf numFmtId="0" fontId="69" fillId="21" borderId="34" xfId="0" applyFont="1" applyFill="1" applyBorder="1" applyAlignment="1">
      <alignment horizontal="center" vertical="center" wrapText="1"/>
    </xf>
    <xf numFmtId="0" fontId="69" fillId="21" borderId="16" xfId="0" applyFont="1" applyFill="1" applyBorder="1" applyAlignment="1">
      <alignment horizontal="center" vertical="center" wrapText="1"/>
    </xf>
    <xf numFmtId="2" fontId="68" fillId="21" borderId="15" xfId="0" applyNumberFormat="1" applyFont="1" applyFill="1" applyBorder="1" applyAlignment="1">
      <alignment horizontal="center" vertical="center" wrapText="1"/>
    </xf>
    <xf numFmtId="0" fontId="68" fillId="21" borderId="34" xfId="0" applyFont="1" applyFill="1" applyBorder="1" applyAlignment="1">
      <alignment horizontal="center" vertical="center" wrapText="1"/>
    </xf>
    <xf numFmtId="0" fontId="68" fillId="21" borderId="16" xfId="0" applyFont="1" applyFill="1" applyBorder="1" applyAlignment="1">
      <alignment horizontal="center" vertical="center" wrapText="1"/>
    </xf>
    <xf numFmtId="2" fontId="45" fillId="21" borderId="34" xfId="0" applyNumberFormat="1" applyFont="1" applyFill="1" applyBorder="1" applyAlignment="1">
      <alignment horizontal="center" vertical="center"/>
    </xf>
    <xf numFmtId="2" fontId="45" fillId="21" borderId="16" xfId="0" applyNumberFormat="1" applyFont="1" applyFill="1" applyBorder="1" applyAlignment="1">
      <alignment horizontal="center" vertical="center"/>
    </xf>
    <xf numFmtId="0" fontId="47" fillId="21" borderId="1" xfId="0" applyFont="1" applyFill="1" applyBorder="1" applyAlignment="1">
      <alignment horizontal="center" vertical="center" wrapText="1"/>
    </xf>
    <xf numFmtId="2" fontId="68" fillId="21" borderId="1" xfId="0" applyNumberFormat="1" applyFont="1" applyFill="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34" xfId="0" applyFont="1" applyBorder="1" applyAlignment="1">
      <alignment horizontal="center" vertical="center" wrapText="1"/>
    </xf>
    <xf numFmtId="0" fontId="69" fillId="0" borderId="34" xfId="0" applyFont="1" applyBorder="1" applyAlignment="1">
      <alignment horizontal="center" vertical="center" wrapText="1"/>
    </xf>
    <xf numFmtId="0" fontId="56"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 xfId="0" applyFont="1" applyBorder="1" applyAlignment="1">
      <alignment horizontal="left" vertical="center" wrapText="1"/>
    </xf>
    <xf numFmtId="0" fontId="51" fillId="0" borderId="11" xfId="14" applyFont="1" applyBorder="1" applyAlignment="1">
      <alignment horizontal="center"/>
    </xf>
    <xf numFmtId="0" fontId="13" fillId="2" borderId="1" xfId="0" applyFont="1" applyFill="1" applyBorder="1" applyAlignment="1" applyProtection="1">
      <alignment horizontal="left" vertical="center" wrapText="1" indent="3"/>
      <protection locked="0"/>
    </xf>
    <xf numFmtId="0" fontId="13" fillId="2" borderId="1" xfId="0" applyFont="1" applyFill="1" applyBorder="1" applyAlignment="1" applyProtection="1">
      <alignment horizontal="left" vertical="top" wrapText="1" indent="3"/>
      <protection locked="0"/>
    </xf>
    <xf numFmtId="0" fontId="16" fillId="2"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left" vertical="top" wrapText="1"/>
      <protection locked="0"/>
    </xf>
    <xf numFmtId="0" fontId="16" fillId="12" borderId="1" xfId="0" applyFont="1" applyFill="1" applyBorder="1" applyAlignment="1" applyProtection="1">
      <alignment horizontal="left" vertical="top"/>
      <protection hidden="1"/>
    </xf>
    <xf numFmtId="0" fontId="16" fillId="2" borderId="1" xfId="0" applyFont="1" applyFill="1" applyBorder="1" applyAlignment="1" applyProtection="1">
      <alignment horizontal="left" vertical="top" wrapText="1"/>
      <protection hidden="1"/>
    </xf>
    <xf numFmtId="0" fontId="13" fillId="2" borderId="1" xfId="0" applyFont="1" applyFill="1" applyBorder="1" applyAlignment="1" applyProtection="1">
      <alignment horizontal="left" vertical="center" wrapText="1" indent="2"/>
      <protection locked="0"/>
    </xf>
    <xf numFmtId="0" fontId="16" fillId="12" borderId="17" xfId="0" applyFont="1" applyFill="1" applyBorder="1" applyAlignment="1" applyProtection="1">
      <alignment horizontal="left" vertical="top"/>
      <protection hidden="1"/>
    </xf>
    <xf numFmtId="0" fontId="16" fillId="12" borderId="18" xfId="0" applyFont="1" applyFill="1" applyBorder="1" applyAlignment="1" applyProtection="1">
      <alignment horizontal="left" vertical="top"/>
      <protection hidden="1"/>
    </xf>
    <xf numFmtId="0" fontId="16" fillId="12" borderId="19" xfId="0" applyFont="1" applyFill="1" applyBorder="1" applyAlignment="1" applyProtection="1">
      <alignment horizontal="left" vertical="top"/>
      <protection hidden="1"/>
    </xf>
    <xf numFmtId="0" fontId="13" fillId="2" borderId="1" xfId="0" applyFont="1" applyFill="1" applyBorder="1" applyAlignment="1" applyProtection="1">
      <alignment horizontal="left" vertical="top" wrapText="1" indent="2"/>
      <protection locked="0"/>
    </xf>
    <xf numFmtId="0" fontId="13" fillId="2" borderId="1" xfId="0" applyFont="1" applyFill="1" applyBorder="1" applyAlignment="1" applyProtection="1">
      <alignment horizontal="left" vertical="center" wrapText="1" indent="2"/>
      <protection locked="0" hidden="1"/>
    </xf>
    <xf numFmtId="0" fontId="16" fillId="2" borderId="16" xfId="0" applyFont="1" applyFill="1" applyBorder="1" applyAlignment="1" applyProtection="1">
      <alignment horizontal="center" vertical="center"/>
      <protection hidden="1"/>
    </xf>
    <xf numFmtId="0" fontId="16" fillId="2" borderId="8" xfId="0" applyFont="1" applyFill="1" applyBorder="1" applyAlignment="1" applyProtection="1">
      <alignment vertical="center" wrapText="1"/>
      <protection hidden="1"/>
    </xf>
    <xf numFmtId="0" fontId="16" fillId="2" borderId="6" xfId="0" applyFont="1" applyFill="1" applyBorder="1" applyAlignment="1" applyProtection="1">
      <alignment vertical="center" wrapText="1"/>
      <protection hidden="1"/>
    </xf>
    <xf numFmtId="0" fontId="16" fillId="2" borderId="7" xfId="0" applyFont="1" applyFill="1" applyBorder="1" applyAlignment="1" applyProtection="1">
      <alignment vertical="center" wrapText="1"/>
      <protection hidden="1"/>
    </xf>
    <xf numFmtId="0" fontId="20" fillId="2" borderId="11" xfId="0" applyFont="1" applyFill="1" applyBorder="1" applyAlignment="1" applyProtection="1">
      <alignment horizontal="center" vertical="center"/>
      <protection hidden="1"/>
    </xf>
    <xf numFmtId="0" fontId="16" fillId="12" borderId="8" xfId="0" applyFont="1" applyFill="1" applyBorder="1" applyAlignment="1" applyProtection="1">
      <alignment vertical="top"/>
      <protection hidden="1"/>
    </xf>
    <xf numFmtId="0" fontId="16" fillId="12" borderId="6" xfId="0" applyFont="1" applyFill="1" applyBorder="1" applyAlignment="1" applyProtection="1">
      <alignment vertical="top"/>
      <protection hidden="1"/>
    </xf>
    <xf numFmtId="0" fontId="16" fillId="12" borderId="7" xfId="0" applyFont="1" applyFill="1" applyBorder="1" applyAlignment="1" applyProtection="1">
      <alignment vertical="top"/>
      <protection hidden="1"/>
    </xf>
    <xf numFmtId="0" fontId="11" fillId="13" borderId="5" xfId="11" applyFill="1" applyBorder="1" applyAlignment="1">
      <alignment horizontal="center" vertical="center"/>
    </xf>
    <xf numFmtId="0" fontId="11" fillId="13" borderId="2" xfId="11" applyFill="1" applyBorder="1" applyAlignment="1">
      <alignment horizontal="center" vertical="center"/>
    </xf>
    <xf numFmtId="0" fontId="11" fillId="13" borderId="4" xfId="11" applyFill="1" applyBorder="1" applyAlignment="1">
      <alignment horizontal="center" vertical="center"/>
    </xf>
    <xf numFmtId="0" fontId="11" fillId="13" borderId="3" xfId="11" applyFill="1" applyBorder="1" applyAlignment="1">
      <alignment horizontal="center" vertical="center"/>
    </xf>
    <xf numFmtId="0" fontId="24" fillId="2" borderId="0" xfId="0" applyFont="1" applyFill="1" applyBorder="1" applyAlignment="1" applyProtection="1">
      <alignment horizontal="right"/>
      <protection hidden="1"/>
    </xf>
    <xf numFmtId="14" fontId="24" fillId="2" borderId="0" xfId="0" applyNumberFormat="1" applyFont="1" applyFill="1" applyAlignment="1" applyProtection="1">
      <alignment horizontal="right"/>
      <protection hidden="1"/>
    </xf>
    <xf numFmtId="14" fontId="25" fillId="2" borderId="0" xfId="0" applyNumberFormat="1" applyFont="1" applyFill="1" applyAlignment="1" applyProtection="1">
      <alignment horizontal="right"/>
      <protection hidden="1"/>
    </xf>
    <xf numFmtId="187" fontId="13" fillId="2" borderId="8" xfId="0" applyNumberFormat="1" applyFont="1" applyFill="1" applyBorder="1" applyAlignment="1" applyProtection="1">
      <alignment horizontal="center" vertical="center" wrapText="1"/>
      <protection hidden="1"/>
    </xf>
    <xf numFmtId="187" fontId="13" fillId="2" borderId="6" xfId="0" applyNumberFormat="1" applyFont="1" applyFill="1" applyBorder="1" applyAlignment="1" applyProtection="1">
      <alignment horizontal="center" vertical="center" wrapText="1"/>
      <protection hidden="1"/>
    </xf>
    <xf numFmtId="187" fontId="13" fillId="2" borderId="7" xfId="0" applyNumberFormat="1" applyFont="1" applyFill="1" applyBorder="1" applyAlignment="1" applyProtection="1">
      <alignment horizontal="center" vertical="center" wrapText="1"/>
      <protection hidden="1"/>
    </xf>
    <xf numFmtId="191" fontId="13" fillId="2" borderId="8" xfId="0" applyNumberFormat="1" applyFont="1" applyFill="1" applyBorder="1" applyAlignment="1" applyProtection="1">
      <alignment horizontal="center" vertical="center" wrapText="1"/>
      <protection hidden="1"/>
    </xf>
    <xf numFmtId="191" fontId="13" fillId="2" borderId="6" xfId="0" applyNumberFormat="1" applyFont="1" applyFill="1" applyBorder="1" applyAlignment="1" applyProtection="1">
      <alignment horizontal="center" vertical="center" wrapText="1"/>
      <protection hidden="1"/>
    </xf>
    <xf numFmtId="191" fontId="13" fillId="2" borderId="7" xfId="0" applyNumberFormat="1" applyFont="1" applyFill="1" applyBorder="1" applyAlignment="1" applyProtection="1">
      <alignment horizontal="center" vertical="center" wrapText="1"/>
      <protection hidden="1"/>
    </xf>
    <xf numFmtId="0" fontId="25" fillId="2" borderId="0" xfId="0" applyFont="1" applyFill="1" applyBorder="1" applyAlignment="1" applyProtection="1">
      <alignment horizontal="right"/>
      <protection hidden="1"/>
    </xf>
    <xf numFmtId="0" fontId="16" fillId="6" borderId="8" xfId="0" applyFont="1" applyFill="1" applyBorder="1" applyAlignment="1" applyProtection="1">
      <alignment horizontal="center" vertical="center"/>
      <protection hidden="1"/>
    </xf>
    <xf numFmtId="0" fontId="16" fillId="6" borderId="6" xfId="0" applyFont="1" applyFill="1" applyBorder="1" applyAlignment="1" applyProtection="1">
      <alignment horizontal="center" vertical="center"/>
      <protection hidden="1"/>
    </xf>
    <xf numFmtId="2" fontId="16" fillId="4" borderId="8" xfId="0" applyNumberFormat="1" applyFont="1" applyFill="1" applyBorder="1" applyAlignment="1" applyProtection="1">
      <alignment horizontal="center" vertical="center" wrapText="1"/>
      <protection hidden="1"/>
    </xf>
    <xf numFmtId="2" fontId="16" fillId="4" borderId="6" xfId="0" applyNumberFormat="1" applyFont="1" applyFill="1" applyBorder="1" applyAlignment="1" applyProtection="1">
      <alignment horizontal="center" vertical="center" wrapText="1"/>
      <protection hidden="1"/>
    </xf>
    <xf numFmtId="2" fontId="16" fillId="4" borderId="7" xfId="0" applyNumberFormat="1" applyFont="1" applyFill="1" applyBorder="1" applyAlignment="1" applyProtection="1">
      <alignment horizontal="center" vertical="center" wrapText="1"/>
      <protection hidden="1"/>
    </xf>
    <xf numFmtId="0" fontId="20" fillId="14" borderId="8" xfId="0" applyFont="1" applyFill="1" applyBorder="1" applyAlignment="1" applyProtection="1">
      <alignment horizontal="left" vertical="center"/>
      <protection hidden="1"/>
    </xf>
    <xf numFmtId="0" fontId="20" fillId="14" borderId="6" xfId="0" applyFont="1" applyFill="1" applyBorder="1" applyAlignment="1" applyProtection="1">
      <alignment horizontal="left" vertical="center"/>
      <protection hidden="1"/>
    </xf>
    <xf numFmtId="2" fontId="20" fillId="6" borderId="13" xfId="0" applyNumberFormat="1" applyFont="1" applyFill="1" applyBorder="1" applyAlignment="1" applyProtection="1">
      <alignment horizontal="center" vertical="center" wrapText="1"/>
      <protection hidden="1"/>
    </xf>
    <xf numFmtId="2" fontId="20" fillId="6" borderId="9" xfId="0" applyNumberFormat="1" applyFont="1" applyFill="1" applyBorder="1" applyAlignment="1" applyProtection="1">
      <alignment horizontal="center" vertical="center" wrapText="1"/>
      <protection hidden="1"/>
    </xf>
    <xf numFmtId="0" fontId="20" fillId="0" borderId="15"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13" fillId="11" borderId="8" xfId="0" applyFont="1" applyFill="1" applyBorder="1" applyAlignment="1" applyProtection="1">
      <alignment horizontal="left" vertical="center" wrapText="1"/>
      <protection hidden="1"/>
    </xf>
    <xf numFmtId="0" fontId="13" fillId="11" borderId="6"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center"/>
      <protection hidden="1"/>
    </xf>
    <xf numFmtId="0" fontId="12" fillId="2" borderId="10" xfId="0" applyFont="1" applyFill="1" applyBorder="1" applyAlignment="1" applyProtection="1">
      <alignment horizontal="left" vertical="center"/>
      <protection hidden="1"/>
    </xf>
    <xf numFmtId="0" fontId="12" fillId="2" borderId="13" xfId="0" applyFont="1" applyFill="1" applyBorder="1" applyAlignment="1" applyProtection="1">
      <alignment horizontal="left" vertical="center"/>
      <protection hidden="1"/>
    </xf>
    <xf numFmtId="0" fontId="14" fillId="7" borderId="8" xfId="0" applyFont="1" applyFill="1" applyBorder="1" applyAlignment="1" applyProtection="1">
      <alignment horizontal="center" vertical="center"/>
      <protection hidden="1"/>
    </xf>
    <xf numFmtId="0" fontId="14" fillId="7" borderId="6" xfId="0" applyFont="1" applyFill="1" applyBorder="1" applyAlignment="1" applyProtection="1">
      <alignment horizontal="center" vertical="center"/>
      <protection hidden="1"/>
    </xf>
    <xf numFmtId="0" fontId="16" fillId="10" borderId="1"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left" vertical="center"/>
      <protection hidden="1"/>
    </xf>
    <xf numFmtId="0" fontId="15" fillId="2" borderId="7" xfId="0" applyFont="1" applyFill="1" applyBorder="1" applyAlignment="1" applyProtection="1">
      <alignment horizontal="left" vertical="center"/>
      <protection hidden="1"/>
    </xf>
    <xf numFmtId="0" fontId="20" fillId="2" borderId="12" xfId="0" applyFont="1" applyFill="1" applyBorder="1" applyAlignment="1" applyProtection="1">
      <alignment horizontal="center" vertical="center"/>
      <protection hidden="1"/>
    </xf>
    <xf numFmtId="0" fontId="20" fillId="2" borderId="10" xfId="0" applyFont="1" applyFill="1" applyBorder="1" applyAlignment="1" applyProtection="1">
      <alignment horizontal="center" vertical="center"/>
      <protection hidden="1"/>
    </xf>
    <xf numFmtId="0" fontId="20" fillId="2" borderId="14" xfId="0" applyFont="1" applyFill="1" applyBorder="1" applyAlignment="1" applyProtection="1">
      <alignment horizontal="center" vertical="center"/>
      <protection hidden="1"/>
    </xf>
    <xf numFmtId="0" fontId="16" fillId="6" borderId="12" xfId="0" applyFont="1" applyFill="1" applyBorder="1" applyAlignment="1" applyProtection="1">
      <alignment horizontal="center" vertical="center"/>
      <protection hidden="1"/>
    </xf>
    <xf numFmtId="0" fontId="16" fillId="6" borderId="10" xfId="0" applyFont="1" applyFill="1" applyBorder="1" applyAlignment="1" applyProtection="1">
      <alignment horizontal="center" vertical="center"/>
      <protection hidden="1"/>
    </xf>
    <xf numFmtId="2" fontId="16" fillId="4" borderId="12" xfId="0" applyNumberFormat="1" applyFont="1" applyFill="1" applyBorder="1" applyAlignment="1" applyProtection="1">
      <alignment horizontal="center" vertical="center" wrapText="1"/>
      <protection hidden="1"/>
    </xf>
    <xf numFmtId="2" fontId="16" fillId="4" borderId="10" xfId="0" applyNumberFormat="1" applyFont="1" applyFill="1" applyBorder="1" applyAlignment="1" applyProtection="1">
      <alignment horizontal="center" vertical="center" wrapText="1"/>
      <protection hidden="1"/>
    </xf>
    <xf numFmtId="0" fontId="20" fillId="14" borderId="7" xfId="0" applyFont="1" applyFill="1" applyBorder="1" applyAlignment="1" applyProtection="1">
      <alignment horizontal="left" vertical="center"/>
      <protection hidden="1"/>
    </xf>
    <xf numFmtId="0" fontId="13" fillId="2" borderId="1" xfId="0" applyFont="1" applyFill="1" applyBorder="1" applyAlignment="1" applyProtection="1">
      <alignment horizontal="left" vertical="center"/>
      <protection hidden="1"/>
    </xf>
    <xf numFmtId="0" fontId="13" fillId="2" borderId="1" xfId="0" applyFont="1" applyFill="1" applyBorder="1" applyAlignment="1" applyProtection="1">
      <alignment horizontal="left" vertical="center" wrapText="1"/>
      <protection hidden="1"/>
    </xf>
    <xf numFmtId="0" fontId="18" fillId="13" borderId="5" xfId="11" applyFont="1" applyFill="1" applyBorder="1" applyAlignment="1">
      <alignment horizontal="center" vertical="center"/>
    </xf>
    <xf numFmtId="0" fontId="18" fillId="13" borderId="2" xfId="11" applyFont="1" applyFill="1" applyBorder="1" applyAlignment="1">
      <alignment horizontal="center" vertical="center"/>
    </xf>
    <xf numFmtId="0" fontId="18" fillId="13" borderId="4" xfId="11" applyFont="1" applyFill="1" applyBorder="1" applyAlignment="1">
      <alignment horizontal="center" vertical="center"/>
    </xf>
    <xf numFmtId="0" fontId="18" fillId="13" borderId="3" xfId="11" applyFont="1" applyFill="1" applyBorder="1" applyAlignment="1">
      <alignment horizontal="center" vertical="center"/>
    </xf>
    <xf numFmtId="0" fontId="22" fillId="13" borderId="5" xfId="11" applyFont="1" applyFill="1" applyBorder="1" applyAlignment="1">
      <alignment horizontal="center" vertical="center"/>
    </xf>
    <xf numFmtId="0" fontId="22" fillId="13" borderId="2" xfId="11" applyFont="1" applyFill="1" applyBorder="1" applyAlignment="1">
      <alignment horizontal="center" vertical="center"/>
    </xf>
    <xf numFmtId="0" fontId="22" fillId="13" borderId="4" xfId="11" applyFont="1" applyFill="1" applyBorder="1" applyAlignment="1">
      <alignment horizontal="center" vertical="center"/>
    </xf>
    <xf numFmtId="0" fontId="22" fillId="13" borderId="3" xfId="11" applyFont="1" applyFill="1" applyBorder="1" applyAlignment="1">
      <alignment horizontal="center" vertical="center"/>
    </xf>
    <xf numFmtId="0" fontId="17" fillId="3" borderId="0" xfId="0" applyFont="1" applyFill="1" applyBorder="1" applyAlignment="1" applyProtection="1">
      <alignment horizontal="center" vertical="center"/>
      <protection hidden="1"/>
    </xf>
    <xf numFmtId="0" fontId="21" fillId="3" borderId="0" xfId="0" applyFont="1" applyFill="1" applyBorder="1" applyAlignment="1" applyProtection="1">
      <alignment horizontal="center" vertical="center" wrapText="1"/>
      <protection hidden="1"/>
    </xf>
    <xf numFmtId="0" fontId="20" fillId="14" borderId="8" xfId="0" applyFont="1" applyFill="1" applyBorder="1" applyAlignment="1" applyProtection="1">
      <alignment horizontal="left" vertical="center" wrapText="1"/>
      <protection hidden="1"/>
    </xf>
    <xf numFmtId="0" fontId="20" fillId="14" borderId="6" xfId="0" applyFont="1" applyFill="1" applyBorder="1" applyAlignment="1" applyProtection="1">
      <alignment horizontal="left" vertical="center" wrapText="1"/>
      <protection hidden="1"/>
    </xf>
    <xf numFmtId="0" fontId="20" fillId="14" borderId="7" xfId="0" applyFont="1" applyFill="1" applyBorder="1" applyAlignment="1" applyProtection="1">
      <alignment horizontal="left" vertical="center" wrapText="1"/>
      <protection hidden="1"/>
    </xf>
    <xf numFmtId="0" fontId="16" fillId="10" borderId="8" xfId="0" applyFont="1" applyFill="1" applyBorder="1" applyAlignment="1" applyProtection="1">
      <alignment horizontal="center" vertical="center" wrapText="1"/>
      <protection hidden="1"/>
    </xf>
    <xf numFmtId="0" fontId="16" fillId="10" borderId="6" xfId="0" applyFont="1" applyFill="1" applyBorder="1" applyAlignment="1" applyProtection="1">
      <alignment horizontal="center" vertical="center" wrapText="1"/>
      <protection hidden="1"/>
    </xf>
    <xf numFmtId="0" fontId="16" fillId="10" borderId="13" xfId="0" applyFont="1" applyFill="1" applyBorder="1" applyAlignment="1" applyProtection="1">
      <alignment horizontal="center" vertical="center" wrapText="1"/>
      <protection hidden="1"/>
    </xf>
    <xf numFmtId="0" fontId="16" fillId="10" borderId="9" xfId="0" applyFont="1" applyFill="1" applyBorder="1" applyAlignment="1" applyProtection="1">
      <alignment horizontal="center" vertical="center" wrapText="1"/>
      <protection hidden="1"/>
    </xf>
    <xf numFmtId="0" fontId="16" fillId="10" borderId="15" xfId="0" applyFont="1" applyFill="1" applyBorder="1" applyAlignment="1" applyProtection="1">
      <alignment horizontal="center" vertical="center" wrapText="1"/>
      <protection hidden="1"/>
    </xf>
    <xf numFmtId="0" fontId="16" fillId="10" borderId="16" xfId="0" applyFont="1" applyFill="1" applyBorder="1" applyAlignment="1" applyProtection="1">
      <alignment horizontal="center" vertical="center" wrapText="1"/>
      <protection hidden="1"/>
    </xf>
    <xf numFmtId="0" fontId="37" fillId="4" borderId="24" xfId="7" applyFont="1" applyFill="1" applyBorder="1" applyAlignment="1" applyProtection="1">
      <alignment horizontal="center" vertical="center" wrapText="1"/>
      <protection hidden="1"/>
    </xf>
    <xf numFmtId="0" fontId="37" fillId="4" borderId="31" xfId="7" applyFont="1" applyFill="1" applyBorder="1" applyAlignment="1" applyProtection="1">
      <alignment horizontal="center" vertical="center" wrapText="1"/>
      <protection hidden="1"/>
    </xf>
    <xf numFmtId="0" fontId="9" fillId="2" borderId="0" xfId="8" applyFont="1" applyFill="1" applyBorder="1" applyAlignment="1" applyProtection="1">
      <alignment horizontal="left" vertical="top" wrapText="1"/>
      <protection hidden="1"/>
    </xf>
    <xf numFmtId="0" fontId="9" fillId="2" borderId="0" xfId="7" applyFont="1" applyFill="1" applyAlignment="1" applyProtection="1">
      <alignment horizontal="left" vertical="top" wrapText="1"/>
      <protection hidden="1"/>
    </xf>
    <xf numFmtId="0" fontId="34" fillId="2" borderId="20" xfId="0" applyFont="1" applyFill="1" applyBorder="1" applyAlignment="1" applyProtection="1">
      <alignment horizontal="center" vertical="center"/>
      <protection hidden="1"/>
    </xf>
    <xf numFmtId="0" fontId="34" fillId="2" borderId="21" xfId="0" applyFont="1" applyFill="1" applyBorder="1" applyAlignment="1" applyProtection="1">
      <alignment horizontal="center" vertical="center"/>
      <protection hidden="1"/>
    </xf>
    <xf numFmtId="0" fontId="34" fillId="2" borderId="22" xfId="0" applyFont="1" applyFill="1" applyBorder="1" applyAlignment="1" applyProtection="1">
      <alignment horizontal="center" vertical="center"/>
      <protection hidden="1"/>
    </xf>
    <xf numFmtId="0" fontId="35" fillId="10" borderId="23" xfId="7" applyFont="1" applyFill="1" applyBorder="1" applyAlignment="1" applyProtection="1">
      <alignment horizontal="center" vertical="center" wrapText="1"/>
      <protection hidden="1"/>
    </xf>
    <xf numFmtId="0" fontId="35" fillId="10" borderId="26" xfId="7" applyFont="1" applyFill="1" applyBorder="1" applyAlignment="1" applyProtection="1">
      <alignment horizontal="center" vertical="center" wrapText="1"/>
      <protection hidden="1"/>
    </xf>
    <xf numFmtId="0" fontId="35" fillId="10" borderId="24" xfId="7" applyFont="1" applyFill="1" applyBorder="1" applyAlignment="1" applyProtection="1">
      <alignment horizontal="center" vertical="top" wrapText="1"/>
      <protection hidden="1"/>
    </xf>
    <xf numFmtId="0" fontId="35" fillId="10" borderId="25" xfId="7" applyFont="1" applyFill="1" applyBorder="1" applyAlignment="1" applyProtection="1">
      <alignment horizontal="center" vertical="top" wrapText="1"/>
      <protection hidden="1"/>
    </xf>
    <xf numFmtId="0" fontId="42" fillId="11" borderId="5" xfId="13" applyFont="1" applyFill="1" applyBorder="1" applyAlignment="1">
      <alignment horizontal="center" vertical="center"/>
    </xf>
    <xf numFmtId="0" fontId="42" fillId="11" borderId="36" xfId="13" applyFont="1" applyFill="1" applyBorder="1" applyAlignment="1">
      <alignment horizontal="center" vertical="center"/>
    </xf>
    <xf numFmtId="0" fontId="42" fillId="11" borderId="37" xfId="13" applyFont="1" applyFill="1" applyBorder="1" applyAlignment="1">
      <alignment horizontal="center" vertical="center"/>
    </xf>
    <xf numFmtId="0" fontId="41" fillId="11" borderId="5" xfId="13" applyFont="1" applyFill="1" applyBorder="1" applyAlignment="1">
      <alignment horizontal="center" vertical="center"/>
    </xf>
    <xf numFmtId="0" fontId="41" fillId="11" borderId="4" xfId="13" applyFont="1" applyFill="1" applyBorder="1" applyAlignment="1">
      <alignment horizontal="center" vertical="center"/>
    </xf>
    <xf numFmtId="0" fontId="41" fillId="11" borderId="15" xfId="13" applyFont="1" applyFill="1" applyBorder="1" applyAlignment="1">
      <alignment horizontal="center" vertical="center"/>
    </xf>
    <xf numFmtId="0" fontId="41" fillId="11" borderId="16" xfId="13" applyFont="1" applyFill="1" applyBorder="1" applyAlignment="1">
      <alignment horizontal="center" vertical="center"/>
    </xf>
    <xf numFmtId="0" fontId="57" fillId="11" borderId="1" xfId="13" applyFont="1" applyFill="1" applyBorder="1" applyAlignment="1">
      <alignment horizontal="center" vertical="center"/>
    </xf>
    <xf numFmtId="0" fontId="13" fillId="0" borderId="1" xfId="0" applyFont="1" applyBorder="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13" fillId="0" borderId="1" xfId="0" applyFont="1" applyBorder="1" applyAlignment="1">
      <alignment horizontal="center" vertical="center"/>
    </xf>
    <xf numFmtId="0" fontId="77" fillId="0" borderId="1" xfId="0" applyFont="1" applyBorder="1" applyAlignment="1">
      <alignment horizontal="center" vertical="center"/>
    </xf>
    <xf numFmtId="0" fontId="57" fillId="0" borderId="1" xfId="0" applyFont="1" applyBorder="1" applyAlignment="1">
      <alignment horizontal="center" vertical="center"/>
    </xf>
  </cellXfs>
  <cellStyles count="15">
    <cellStyle name="Hyperlink" xfId="11" builtinId="8"/>
    <cellStyle name="Normal 2 3" xfId="8"/>
    <cellStyle name="Normal 3" xfId="10"/>
    <cellStyle name="Normal 4" xfId="7"/>
    <cellStyle name="Normal 5" xfId="3"/>
    <cellStyle name="เครื่องหมายจุลภาค" xfId="12" builtinId="3"/>
    <cellStyle name="เครื่องหมายจุลภาค 2" xfId="5"/>
    <cellStyle name="ปกติ" xfId="0" builtinId="0"/>
    <cellStyle name="ปกติ 2" xfId="1"/>
    <cellStyle name="ปกติ 3" xfId="2"/>
    <cellStyle name="ปกติ 4" xfId="4"/>
    <cellStyle name="ปกติ 5" xfId="9"/>
    <cellStyle name="ปกติ 6" xfId="13"/>
    <cellStyle name="ปกติ 7" xfId="14"/>
    <cellStyle name="เปอร์เซ็นต์ 2" xfId="6"/>
  </cellStyles>
  <dxfs count="18">
    <dxf>
      <fill>
        <patternFill>
          <bgColor theme="9"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color rgb="FFFF0000"/>
      </font>
    </dxf>
    <dxf>
      <font>
        <b/>
        <i val="0"/>
      </font>
      <fill>
        <patternFill>
          <bgColor theme="5"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FFCC"/>
      <color rgb="FF0000FF"/>
      <color rgb="FFCCFF99"/>
      <color rgb="FFCCCCFF"/>
      <color rgb="FFFFE1FF"/>
      <color rgb="FFFFFF99"/>
      <color rgb="FFFFD5FF"/>
      <color rgb="FFFF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46" noThreeD="1"/>
</file>

<file path=xl/ctrlProps/ctrlProp10.xml><?xml version="1.0" encoding="utf-8"?>
<formControlPr xmlns="http://schemas.microsoft.com/office/spreadsheetml/2009/9/main" objectType="CheckBox" checked="Checked" fmlaLink="$A$104" lockText="1" noThreeD="1"/>
</file>

<file path=xl/ctrlProps/ctrlProp11.xml><?xml version="1.0" encoding="utf-8"?>
<formControlPr xmlns="http://schemas.microsoft.com/office/spreadsheetml/2009/9/main" objectType="CheckBox" checked="Checked" fmlaLink="$A$105" lockText="1" noThreeD="1"/>
</file>

<file path=xl/ctrlProps/ctrlProp12.xml><?xml version="1.0" encoding="utf-8"?>
<formControlPr xmlns="http://schemas.microsoft.com/office/spreadsheetml/2009/9/main" objectType="CheckBox" checked="Checked" fmlaLink="$A$106" lockText="1" noThreeD="1"/>
</file>

<file path=xl/ctrlProps/ctrlProp13.xml><?xml version="1.0" encoding="utf-8"?>
<formControlPr xmlns="http://schemas.microsoft.com/office/spreadsheetml/2009/9/main" objectType="CheckBox" fmlaLink="$A$107" lockText="1" noThreeD="1"/>
</file>

<file path=xl/ctrlProps/ctrlProp14.xml><?xml version="1.0" encoding="utf-8"?>
<formControlPr xmlns="http://schemas.microsoft.com/office/spreadsheetml/2009/9/main" objectType="CheckBox" checked="Checked" fmlaLink="$A$136" lockText="1" noThreeD="1"/>
</file>

<file path=xl/ctrlProps/ctrlProp15.xml><?xml version="1.0" encoding="utf-8"?>
<formControlPr xmlns="http://schemas.microsoft.com/office/spreadsheetml/2009/9/main" objectType="CheckBox" checked="Checked" fmlaLink="$A$137" lockText="1" noThreeD="1"/>
</file>

<file path=xl/ctrlProps/ctrlProp16.xml><?xml version="1.0" encoding="utf-8"?>
<formControlPr xmlns="http://schemas.microsoft.com/office/spreadsheetml/2009/9/main" objectType="CheckBox" checked="Checked" fmlaLink="$A$138" lockText="1" noThreeD="1"/>
</file>

<file path=xl/ctrlProps/ctrlProp17.xml><?xml version="1.0" encoding="utf-8"?>
<formControlPr xmlns="http://schemas.microsoft.com/office/spreadsheetml/2009/9/main" objectType="CheckBox" checked="Checked" fmlaLink="$A$139" lockText="1" noThreeD="1"/>
</file>

<file path=xl/ctrlProps/ctrlProp18.xml><?xml version="1.0" encoding="utf-8"?>
<formControlPr xmlns="http://schemas.microsoft.com/office/spreadsheetml/2009/9/main" objectType="CheckBox" checked="Checked" fmlaLink="$A$140" lockText="1" noThreeD="1"/>
</file>

<file path=xl/ctrlProps/ctrlProp19.xml><?xml version="1.0" encoding="utf-8"?>
<formControlPr xmlns="http://schemas.microsoft.com/office/spreadsheetml/2009/9/main" objectType="CheckBox" checked="Checked" fmlaLink="$A$141" lockText="1" noThreeD="1"/>
</file>

<file path=xl/ctrlProps/ctrlProp2.xml><?xml version="1.0" encoding="utf-8"?>
<formControlPr xmlns="http://schemas.microsoft.com/office/spreadsheetml/2009/9/main" objectType="CheckBox" checked="Checked" fmlaLink="$A$47" lockText="1" noThreeD="1"/>
</file>

<file path=xl/ctrlProps/ctrlProp20.xml><?xml version="1.0" encoding="utf-8"?>
<formControlPr xmlns="http://schemas.microsoft.com/office/spreadsheetml/2009/9/main" objectType="CheckBox" checked="Checked" fmlaLink="$A$35" lockText="1" noThreeD="1"/>
</file>

<file path=xl/ctrlProps/ctrlProp21.xml><?xml version="1.0" encoding="utf-8"?>
<formControlPr xmlns="http://schemas.microsoft.com/office/spreadsheetml/2009/9/main" objectType="CheckBox" checked="Checked" fmlaLink="$A$34" lockText="1" noThreeD="1"/>
</file>

<file path=xl/ctrlProps/ctrlProp22.xml><?xml version="1.0" encoding="utf-8"?>
<formControlPr xmlns="http://schemas.microsoft.com/office/spreadsheetml/2009/9/main" objectType="CheckBox" checked="Checked" fmlaLink="$A$36" lockText="1" noThreeD="1"/>
</file>

<file path=xl/ctrlProps/ctrlProp23.xml><?xml version="1.0" encoding="utf-8"?>
<formControlPr xmlns="http://schemas.microsoft.com/office/spreadsheetml/2009/9/main" objectType="CheckBox" checked="Checked" fmlaLink="$A$37" lockText="1" noThreeD="1"/>
</file>

<file path=xl/ctrlProps/ctrlProp24.xml><?xml version="1.0" encoding="utf-8"?>
<formControlPr xmlns="http://schemas.microsoft.com/office/spreadsheetml/2009/9/main" objectType="CheckBox" checked="Checked" fmlaLink="$A$38" lockText="1" noThreeD="1"/>
</file>

<file path=xl/ctrlProps/ctrlProp25.xml><?xml version="1.0" encoding="utf-8"?>
<formControlPr xmlns="http://schemas.microsoft.com/office/spreadsheetml/2009/9/main" objectType="CheckBox" checked="Checked" fmlaLink="$A$39" lockText="1" noThreeD="1"/>
</file>

<file path=xl/ctrlProps/ctrlProp26.xml><?xml version="1.0" encoding="utf-8"?>
<formControlPr xmlns="http://schemas.microsoft.com/office/spreadsheetml/2009/9/main" objectType="CheckBox" checked="Checked" fmlaLink="$A$58" lockText="1" noThreeD="1"/>
</file>

<file path=xl/ctrlProps/ctrlProp27.xml><?xml version="1.0" encoding="utf-8"?>
<formControlPr xmlns="http://schemas.microsoft.com/office/spreadsheetml/2009/9/main" objectType="CheckBox" checked="Checked" fmlaLink="$A$59" lockText="1" noThreeD="1"/>
</file>

<file path=xl/ctrlProps/ctrlProp28.xml><?xml version="1.0" encoding="utf-8"?>
<formControlPr xmlns="http://schemas.microsoft.com/office/spreadsheetml/2009/9/main" objectType="CheckBox" checked="Checked" fmlaLink="$A$60" lockText="1" noThreeD="1"/>
</file>

<file path=xl/ctrlProps/ctrlProp29.xml><?xml version="1.0" encoding="utf-8"?>
<formControlPr xmlns="http://schemas.microsoft.com/office/spreadsheetml/2009/9/main" objectType="CheckBox" checked="Checked" fmlaLink="$A$61"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A$62" lockText="1" noThreeD="1"/>
</file>

<file path=xl/ctrlProps/ctrlProp31.xml><?xml version="1.0" encoding="utf-8"?>
<formControlPr xmlns="http://schemas.microsoft.com/office/spreadsheetml/2009/9/main" objectType="CheckBox" checked="Checked" fmlaLink="$A$63" lockText="1" noThreeD="1"/>
</file>

<file path=xl/ctrlProps/ctrlProp32.xml><?xml version="1.0" encoding="utf-8"?>
<formControlPr xmlns="http://schemas.microsoft.com/office/spreadsheetml/2009/9/main" objectType="CheckBox" checked="Checked" fmlaLink="$A$90" lockText="1" noThreeD="1"/>
</file>

<file path=xl/ctrlProps/ctrlProp33.xml><?xml version="1.0" encoding="utf-8"?>
<formControlPr xmlns="http://schemas.microsoft.com/office/spreadsheetml/2009/9/main" objectType="CheckBox" checked="Checked" fmlaLink="$A$89" lockText="1" noThreeD="1"/>
</file>

<file path=xl/ctrlProps/ctrlProp34.xml><?xml version="1.0" encoding="utf-8"?>
<formControlPr xmlns="http://schemas.microsoft.com/office/spreadsheetml/2009/9/main" objectType="CheckBox" checked="Checked" fmlaLink="$A$91" lockText="1" noThreeD="1"/>
</file>

<file path=xl/ctrlProps/ctrlProp35.xml><?xml version="1.0" encoding="utf-8"?>
<formControlPr xmlns="http://schemas.microsoft.com/office/spreadsheetml/2009/9/main" objectType="CheckBox" checked="Checked" fmlaLink="$A$92" lockText="1" noThreeD="1"/>
</file>

<file path=xl/ctrlProps/ctrlProp36.xml><?xml version="1.0" encoding="utf-8"?>
<formControlPr xmlns="http://schemas.microsoft.com/office/spreadsheetml/2009/9/main" objectType="CheckBox" checked="Checked" fmlaLink="$A$93" lockText="1" noThreeD="1"/>
</file>

<file path=xl/ctrlProps/ctrlProp37.xml><?xml version="1.0" encoding="utf-8"?>
<formControlPr xmlns="http://schemas.microsoft.com/office/spreadsheetml/2009/9/main" objectType="CheckBox" checked="Checked" fmlaLink="$A$94" lockText="1" noThreeD="1"/>
</file>

<file path=xl/ctrlProps/ctrlProp38.xml><?xml version="1.0" encoding="utf-8"?>
<formControlPr xmlns="http://schemas.microsoft.com/office/spreadsheetml/2009/9/main" objectType="CheckBox" checked="Checked" fmlaLink="$A$114" lockText="1" noThreeD="1"/>
</file>

<file path=xl/ctrlProps/ctrlProp39.xml><?xml version="1.0" encoding="utf-8"?>
<formControlPr xmlns="http://schemas.microsoft.com/office/spreadsheetml/2009/9/main" objectType="CheckBox" checked="Checked" fmlaLink="$A$115" lockText="1" noThreeD="1"/>
</file>

<file path=xl/ctrlProps/ctrlProp4.xml><?xml version="1.0" encoding="utf-8"?>
<formControlPr xmlns="http://schemas.microsoft.com/office/spreadsheetml/2009/9/main" objectType="CheckBox" checked="Checked" fmlaLink="$A$49" lockText="1" noThreeD="1"/>
</file>

<file path=xl/ctrlProps/ctrlProp40.xml><?xml version="1.0" encoding="utf-8"?>
<formControlPr xmlns="http://schemas.microsoft.com/office/spreadsheetml/2009/9/main" objectType="CheckBox" checked="Checked" fmlaLink="$A$116" lockText="1" noThreeD="1"/>
</file>

<file path=xl/ctrlProps/ctrlProp41.xml><?xml version="1.0" encoding="utf-8"?>
<formControlPr xmlns="http://schemas.microsoft.com/office/spreadsheetml/2009/9/main" objectType="CheckBox" checked="Checked" fmlaLink="$A$117" lockText="1" noThreeD="1"/>
</file>

<file path=xl/ctrlProps/ctrlProp42.xml><?xml version="1.0" encoding="utf-8"?>
<formControlPr xmlns="http://schemas.microsoft.com/office/spreadsheetml/2009/9/main" objectType="CheckBox" checked="Checked" fmlaLink="$A$118" lockText="1" noThreeD="1"/>
</file>

<file path=xl/ctrlProps/ctrlProp43.xml><?xml version="1.0" encoding="utf-8"?>
<formControlPr xmlns="http://schemas.microsoft.com/office/spreadsheetml/2009/9/main" objectType="CheckBox" checked="Checked" fmlaLink="$A$119" lockText="1" noThreeD="1"/>
</file>

<file path=xl/ctrlProps/ctrlProp44.xml><?xml version="1.0" encoding="utf-8"?>
<formControlPr xmlns="http://schemas.microsoft.com/office/spreadsheetml/2009/9/main" objectType="CheckBox" checked="Checked" fmlaLink="$A$120" lockText="1" noThreeD="1"/>
</file>

<file path=xl/ctrlProps/ctrlProp5.xml><?xml version="1.0" encoding="utf-8"?>
<formControlPr xmlns="http://schemas.microsoft.com/office/spreadsheetml/2009/9/main" objectType="CheckBox" checked="Checked" fmlaLink="$A$50" lockText="1" noThreeD="1"/>
</file>

<file path=xl/ctrlProps/ctrlProp6.xml><?xml version="1.0" encoding="utf-8"?>
<formControlPr xmlns="http://schemas.microsoft.com/office/spreadsheetml/2009/9/main" objectType="CheckBox" checked="Checked" fmlaLink="$A$51" lockText="1" noThreeD="1"/>
</file>

<file path=xl/ctrlProps/ctrlProp7.xml><?xml version="1.0" encoding="utf-8"?>
<formControlPr xmlns="http://schemas.microsoft.com/office/spreadsheetml/2009/9/main" objectType="CheckBox" checked="Checked" fmlaLink="$A$101" lockText="1" noThreeD="1"/>
</file>

<file path=xl/ctrlProps/ctrlProp8.xml><?xml version="1.0" encoding="utf-8"?>
<formControlPr xmlns="http://schemas.microsoft.com/office/spreadsheetml/2009/9/main" objectType="CheckBox" checked="Checked" fmlaLink="$A$102" lockText="1" noThreeD="1"/>
</file>

<file path=xl/ctrlProps/ctrlProp9.xml><?xml version="1.0" encoding="utf-8"?>
<formControlPr xmlns="http://schemas.microsoft.com/office/spreadsheetml/2009/9/main" objectType="CheckBox" checked="Checked" fmlaLink="$A$10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45</xdr:row>
          <xdr:rowOff>19050</xdr:rowOff>
        </xdr:from>
        <xdr:to>
          <xdr:col>4</xdr:col>
          <xdr:colOff>514350</xdr:colOff>
          <xdr:row>45</xdr:row>
          <xdr:rowOff>219075</xdr:rowOff>
        </xdr:to>
        <xdr:sp macro="" textlink="">
          <xdr:nvSpPr>
            <xdr:cNvPr id="15491" name="Check Box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46</xdr:row>
          <xdr:rowOff>19050</xdr:rowOff>
        </xdr:from>
        <xdr:to>
          <xdr:col>4</xdr:col>
          <xdr:colOff>685800</xdr:colOff>
          <xdr:row>46</xdr:row>
          <xdr:rowOff>361950</xdr:rowOff>
        </xdr:to>
        <xdr:sp macro="" textlink="">
          <xdr:nvSpPr>
            <xdr:cNvPr id="15492" name="Check Box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47</xdr:row>
          <xdr:rowOff>19050</xdr:rowOff>
        </xdr:from>
        <xdr:to>
          <xdr:col>4</xdr:col>
          <xdr:colOff>685800</xdr:colOff>
          <xdr:row>47</xdr:row>
          <xdr:rowOff>209550</xdr:rowOff>
        </xdr:to>
        <xdr:sp macro="" textlink="">
          <xdr:nvSpPr>
            <xdr:cNvPr id="15493" name="Check Box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48</xdr:row>
          <xdr:rowOff>19050</xdr:rowOff>
        </xdr:from>
        <xdr:to>
          <xdr:col>4</xdr:col>
          <xdr:colOff>685800</xdr:colOff>
          <xdr:row>48</xdr:row>
          <xdr:rowOff>209550</xdr:rowOff>
        </xdr:to>
        <xdr:sp macro="" textlink="">
          <xdr:nvSpPr>
            <xdr:cNvPr id="15494" name="Check Box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49</xdr:row>
          <xdr:rowOff>19050</xdr:rowOff>
        </xdr:from>
        <xdr:to>
          <xdr:col>4</xdr:col>
          <xdr:colOff>685800</xdr:colOff>
          <xdr:row>49</xdr:row>
          <xdr:rowOff>209550</xdr:rowOff>
        </xdr:to>
        <xdr:sp macro="" textlink="">
          <xdr:nvSpPr>
            <xdr:cNvPr id="15495" name="Check Box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50</xdr:row>
          <xdr:rowOff>19050</xdr:rowOff>
        </xdr:from>
        <xdr:to>
          <xdr:col>4</xdr:col>
          <xdr:colOff>542925</xdr:colOff>
          <xdr:row>50</xdr:row>
          <xdr:rowOff>200025</xdr:rowOff>
        </xdr:to>
        <xdr:sp macro="" textlink="">
          <xdr:nvSpPr>
            <xdr:cNvPr id="15496" name="Check Box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100</xdr:row>
          <xdr:rowOff>19050</xdr:rowOff>
        </xdr:from>
        <xdr:to>
          <xdr:col>4</xdr:col>
          <xdr:colOff>561975</xdr:colOff>
          <xdr:row>100</xdr:row>
          <xdr:rowOff>266700</xdr:rowOff>
        </xdr:to>
        <xdr:sp macro="" textlink="">
          <xdr:nvSpPr>
            <xdr:cNvPr id="15498" name="Check Box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101</xdr:row>
          <xdr:rowOff>19050</xdr:rowOff>
        </xdr:from>
        <xdr:to>
          <xdr:col>4</xdr:col>
          <xdr:colOff>647700</xdr:colOff>
          <xdr:row>101</xdr:row>
          <xdr:rowOff>219075</xdr:rowOff>
        </xdr:to>
        <xdr:sp macro="" textlink="">
          <xdr:nvSpPr>
            <xdr:cNvPr id="15499" name="Check Box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102</xdr:row>
          <xdr:rowOff>19050</xdr:rowOff>
        </xdr:from>
        <xdr:to>
          <xdr:col>4</xdr:col>
          <xdr:colOff>647700</xdr:colOff>
          <xdr:row>102</xdr:row>
          <xdr:rowOff>219075</xdr:rowOff>
        </xdr:to>
        <xdr:sp macro="" textlink="">
          <xdr:nvSpPr>
            <xdr:cNvPr id="15500" name="Check Box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103</xdr:row>
          <xdr:rowOff>19050</xdr:rowOff>
        </xdr:from>
        <xdr:to>
          <xdr:col>4</xdr:col>
          <xdr:colOff>647700</xdr:colOff>
          <xdr:row>103</xdr:row>
          <xdr:rowOff>219075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104</xdr:row>
          <xdr:rowOff>19050</xdr:rowOff>
        </xdr:from>
        <xdr:to>
          <xdr:col>4</xdr:col>
          <xdr:colOff>647700</xdr:colOff>
          <xdr:row>104</xdr:row>
          <xdr:rowOff>219075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19050</xdr:rowOff>
        </xdr:from>
        <xdr:to>
          <xdr:col>4</xdr:col>
          <xdr:colOff>647700</xdr:colOff>
          <xdr:row>105</xdr:row>
          <xdr:rowOff>219075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106</xdr:row>
          <xdr:rowOff>19050</xdr:rowOff>
        </xdr:from>
        <xdr:to>
          <xdr:col>4</xdr:col>
          <xdr:colOff>647700</xdr:colOff>
          <xdr:row>106</xdr:row>
          <xdr:rowOff>219075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135</xdr:row>
          <xdr:rowOff>9525</xdr:rowOff>
        </xdr:from>
        <xdr:to>
          <xdr:col>4</xdr:col>
          <xdr:colOff>609600</xdr:colOff>
          <xdr:row>135</xdr:row>
          <xdr:rowOff>390525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136</xdr:row>
          <xdr:rowOff>19050</xdr:rowOff>
        </xdr:from>
        <xdr:to>
          <xdr:col>4</xdr:col>
          <xdr:colOff>647700</xdr:colOff>
          <xdr:row>136</xdr:row>
          <xdr:rowOff>361950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137</xdr:row>
          <xdr:rowOff>9525</xdr:rowOff>
        </xdr:from>
        <xdr:to>
          <xdr:col>4</xdr:col>
          <xdr:colOff>609600</xdr:colOff>
          <xdr:row>137</xdr:row>
          <xdr:rowOff>276225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137</xdr:row>
          <xdr:rowOff>581025</xdr:rowOff>
        </xdr:from>
        <xdr:to>
          <xdr:col>4</xdr:col>
          <xdr:colOff>542925</xdr:colOff>
          <xdr:row>138</xdr:row>
          <xdr:rowOff>266700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139</xdr:row>
          <xdr:rowOff>9525</xdr:rowOff>
        </xdr:from>
        <xdr:to>
          <xdr:col>4</xdr:col>
          <xdr:colOff>609600</xdr:colOff>
          <xdr:row>139</xdr:row>
          <xdr:rowOff>276225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140</xdr:row>
          <xdr:rowOff>9525</xdr:rowOff>
        </xdr:from>
        <xdr:to>
          <xdr:col>4</xdr:col>
          <xdr:colOff>609600</xdr:colOff>
          <xdr:row>140</xdr:row>
          <xdr:rowOff>276225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19050</xdr:rowOff>
        </xdr:from>
        <xdr:to>
          <xdr:col>4</xdr:col>
          <xdr:colOff>714375</xdr:colOff>
          <xdr:row>34</xdr:row>
          <xdr:rowOff>247650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19050</xdr:rowOff>
        </xdr:from>
        <xdr:to>
          <xdr:col>4</xdr:col>
          <xdr:colOff>542925</xdr:colOff>
          <xdr:row>33</xdr:row>
          <xdr:rowOff>247650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19050</xdr:rowOff>
        </xdr:from>
        <xdr:to>
          <xdr:col>4</xdr:col>
          <xdr:colOff>714375</xdr:colOff>
          <xdr:row>35</xdr:row>
          <xdr:rowOff>247650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19050</xdr:rowOff>
        </xdr:from>
        <xdr:to>
          <xdr:col>4</xdr:col>
          <xdr:colOff>714375</xdr:colOff>
          <xdr:row>36</xdr:row>
          <xdr:rowOff>247650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37</xdr:row>
          <xdr:rowOff>19050</xdr:rowOff>
        </xdr:from>
        <xdr:to>
          <xdr:col>4</xdr:col>
          <xdr:colOff>714375</xdr:colOff>
          <xdr:row>37</xdr:row>
          <xdr:rowOff>247650</xdr:rowOff>
        </xdr:to>
        <xdr:sp macro="" textlink="">
          <xdr:nvSpPr>
            <xdr:cNvPr id="15525" name="Check Box 165" hidden="1">
              <a:extLst>
                <a:ext uri="{63B3BB69-23CF-44E3-9099-C40C66FF867C}">
                  <a14:compatExt spid="_x0000_s15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38</xdr:row>
          <xdr:rowOff>19050</xdr:rowOff>
        </xdr:from>
        <xdr:to>
          <xdr:col>4</xdr:col>
          <xdr:colOff>714375</xdr:colOff>
          <xdr:row>38</xdr:row>
          <xdr:rowOff>247650</xdr:rowOff>
        </xdr:to>
        <xdr:sp macro="" textlink="">
          <xdr:nvSpPr>
            <xdr:cNvPr id="15526" name="Check Box 166" hidden="1">
              <a:extLst>
                <a:ext uri="{63B3BB69-23CF-44E3-9099-C40C66FF867C}">
                  <a14:compatExt spid="_x0000_s15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9525</xdr:rowOff>
        </xdr:from>
        <xdr:to>
          <xdr:col>4</xdr:col>
          <xdr:colOff>609600</xdr:colOff>
          <xdr:row>57</xdr:row>
          <xdr:rowOff>276225</xdr:rowOff>
        </xdr:to>
        <xdr:sp macro="" textlink="">
          <xdr:nvSpPr>
            <xdr:cNvPr id="15527" name="Check Box 167" hidden="1">
              <a:extLst>
                <a:ext uri="{63B3BB69-23CF-44E3-9099-C40C66FF867C}">
                  <a14:compatExt spid="_x0000_s15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xdr:row>
          <xdr:rowOff>9525</xdr:rowOff>
        </xdr:from>
        <xdr:to>
          <xdr:col>4</xdr:col>
          <xdr:colOff>609600</xdr:colOff>
          <xdr:row>58</xdr:row>
          <xdr:rowOff>276225</xdr:rowOff>
        </xdr:to>
        <xdr:sp macro="" textlink="">
          <xdr:nvSpPr>
            <xdr:cNvPr id="15528" name="Check Box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9525</xdr:rowOff>
        </xdr:from>
        <xdr:to>
          <xdr:col>4</xdr:col>
          <xdr:colOff>609600</xdr:colOff>
          <xdr:row>59</xdr:row>
          <xdr:rowOff>276225</xdr:rowOff>
        </xdr:to>
        <xdr:sp macro="" textlink="">
          <xdr:nvSpPr>
            <xdr:cNvPr id="15529" name="Check Box 169" hidden="1">
              <a:extLst>
                <a:ext uri="{63B3BB69-23CF-44E3-9099-C40C66FF867C}">
                  <a14:compatExt spid="_x0000_s15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9525</xdr:rowOff>
        </xdr:from>
        <xdr:to>
          <xdr:col>4</xdr:col>
          <xdr:colOff>609600</xdr:colOff>
          <xdr:row>60</xdr:row>
          <xdr:rowOff>276225</xdr:rowOff>
        </xdr:to>
        <xdr:sp macro="" textlink="">
          <xdr:nvSpPr>
            <xdr:cNvPr id="15530" name="Check Box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9525</xdr:rowOff>
        </xdr:from>
        <xdr:to>
          <xdr:col>4</xdr:col>
          <xdr:colOff>609600</xdr:colOff>
          <xdr:row>61</xdr:row>
          <xdr:rowOff>276225</xdr:rowOff>
        </xdr:to>
        <xdr:sp macro="" textlink="">
          <xdr:nvSpPr>
            <xdr:cNvPr id="15531" name="Check Box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xdr:row>
          <xdr:rowOff>9525</xdr:rowOff>
        </xdr:from>
        <xdr:to>
          <xdr:col>4</xdr:col>
          <xdr:colOff>609600</xdr:colOff>
          <xdr:row>62</xdr:row>
          <xdr:rowOff>276225</xdr:rowOff>
        </xdr:to>
        <xdr:sp macro="" textlink="">
          <xdr:nvSpPr>
            <xdr:cNvPr id="15532" name="Check Box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19050</xdr:rowOff>
        </xdr:from>
        <xdr:to>
          <xdr:col>4</xdr:col>
          <xdr:colOff>714375</xdr:colOff>
          <xdr:row>89</xdr:row>
          <xdr:rowOff>247650</xdr:rowOff>
        </xdr:to>
        <xdr:sp macro="" textlink="">
          <xdr:nvSpPr>
            <xdr:cNvPr id="15533" name="Check Box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88</xdr:row>
          <xdr:rowOff>19050</xdr:rowOff>
        </xdr:from>
        <xdr:to>
          <xdr:col>4</xdr:col>
          <xdr:colOff>266700</xdr:colOff>
          <xdr:row>88</xdr:row>
          <xdr:rowOff>323850</xdr:rowOff>
        </xdr:to>
        <xdr:sp macro="" textlink="">
          <xdr:nvSpPr>
            <xdr:cNvPr id="15534" name="Check Box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90</xdr:row>
          <xdr:rowOff>19050</xdr:rowOff>
        </xdr:from>
        <xdr:to>
          <xdr:col>4</xdr:col>
          <xdr:colOff>419100</xdr:colOff>
          <xdr:row>90</xdr:row>
          <xdr:rowOff>266700</xdr:rowOff>
        </xdr:to>
        <xdr:sp macro="" textlink="">
          <xdr:nvSpPr>
            <xdr:cNvPr id="15535" name="Check Box 175" hidden="1">
              <a:extLst>
                <a:ext uri="{63B3BB69-23CF-44E3-9099-C40C66FF867C}">
                  <a14:compatExt spid="_x0000_s15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91</xdr:row>
          <xdr:rowOff>19050</xdr:rowOff>
        </xdr:from>
        <xdr:to>
          <xdr:col>4</xdr:col>
          <xdr:colOff>400050</xdr:colOff>
          <xdr:row>91</xdr:row>
          <xdr:rowOff>238125</xdr:rowOff>
        </xdr:to>
        <xdr:sp macro="" textlink="">
          <xdr:nvSpPr>
            <xdr:cNvPr id="15536" name="Check Box 176" hidden="1">
              <a:extLst>
                <a:ext uri="{63B3BB69-23CF-44E3-9099-C40C66FF867C}">
                  <a14:compatExt spid="_x0000_s15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92</xdr:row>
          <xdr:rowOff>19050</xdr:rowOff>
        </xdr:from>
        <xdr:to>
          <xdr:col>4</xdr:col>
          <xdr:colOff>714375</xdr:colOff>
          <xdr:row>92</xdr:row>
          <xdr:rowOff>247650</xdr:rowOff>
        </xdr:to>
        <xdr:sp macro="" textlink="">
          <xdr:nvSpPr>
            <xdr:cNvPr id="15537" name="Check Box 177" hidden="1">
              <a:extLst>
                <a:ext uri="{63B3BB69-23CF-44E3-9099-C40C66FF867C}">
                  <a14:compatExt spid="_x0000_s1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93</xdr:row>
          <xdr:rowOff>38100</xdr:rowOff>
        </xdr:from>
        <xdr:to>
          <xdr:col>4</xdr:col>
          <xdr:colOff>542925</xdr:colOff>
          <xdr:row>93</xdr:row>
          <xdr:rowOff>285750</xdr:rowOff>
        </xdr:to>
        <xdr:sp macro="" textlink="">
          <xdr:nvSpPr>
            <xdr:cNvPr id="15538" name="Check Box 178" hidden="1">
              <a:extLst>
                <a:ext uri="{63B3BB69-23CF-44E3-9099-C40C66FF867C}">
                  <a14:compatExt spid="_x0000_s1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113</xdr:row>
          <xdr:rowOff>19050</xdr:rowOff>
        </xdr:from>
        <xdr:to>
          <xdr:col>4</xdr:col>
          <xdr:colOff>561975</xdr:colOff>
          <xdr:row>113</xdr:row>
          <xdr:rowOff>266700</xdr:rowOff>
        </xdr:to>
        <xdr:sp macro="" textlink="">
          <xdr:nvSpPr>
            <xdr:cNvPr id="15539" name="Check Box 179" hidden="1">
              <a:extLst>
                <a:ext uri="{63B3BB69-23CF-44E3-9099-C40C66FF867C}">
                  <a14:compatExt spid="_x0000_s1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114</xdr:row>
          <xdr:rowOff>19050</xdr:rowOff>
        </xdr:from>
        <xdr:to>
          <xdr:col>4</xdr:col>
          <xdr:colOff>647700</xdr:colOff>
          <xdr:row>114</xdr:row>
          <xdr:rowOff>219075</xdr:rowOff>
        </xdr:to>
        <xdr:sp macro="" textlink="">
          <xdr:nvSpPr>
            <xdr:cNvPr id="15540" name="Check Box 180" hidden="1">
              <a:extLst>
                <a:ext uri="{63B3BB69-23CF-44E3-9099-C40C66FF867C}">
                  <a14:compatExt spid="_x0000_s1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115</xdr:row>
          <xdr:rowOff>19050</xdr:rowOff>
        </xdr:from>
        <xdr:to>
          <xdr:col>4</xdr:col>
          <xdr:colOff>571500</xdr:colOff>
          <xdr:row>115</xdr:row>
          <xdr:rowOff>209550</xdr:rowOff>
        </xdr:to>
        <xdr:sp macro="" textlink="">
          <xdr:nvSpPr>
            <xdr:cNvPr id="15541" name="Check Box 181" hidden="1">
              <a:extLst>
                <a:ext uri="{63B3BB69-23CF-44E3-9099-C40C66FF867C}">
                  <a14:compatExt spid="_x0000_s1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116</xdr:row>
          <xdr:rowOff>19050</xdr:rowOff>
        </xdr:from>
        <xdr:to>
          <xdr:col>4</xdr:col>
          <xdr:colOff>647700</xdr:colOff>
          <xdr:row>116</xdr:row>
          <xdr:rowOff>219075</xdr:rowOff>
        </xdr:to>
        <xdr:sp macro="" textlink="">
          <xdr:nvSpPr>
            <xdr:cNvPr id="15542" name="Check Box 182" hidden="1">
              <a:extLst>
                <a:ext uri="{63B3BB69-23CF-44E3-9099-C40C66FF867C}">
                  <a14:compatExt spid="_x0000_s1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117</xdr:row>
          <xdr:rowOff>19050</xdr:rowOff>
        </xdr:from>
        <xdr:to>
          <xdr:col>4</xdr:col>
          <xdr:colOff>638175</xdr:colOff>
          <xdr:row>117</xdr:row>
          <xdr:rowOff>200025</xdr:rowOff>
        </xdr:to>
        <xdr:sp macro="" textlink="">
          <xdr:nvSpPr>
            <xdr:cNvPr id="15543" name="Check Box 183" hidden="1">
              <a:extLst>
                <a:ext uri="{63B3BB69-23CF-44E3-9099-C40C66FF867C}">
                  <a14:compatExt spid="_x0000_s1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118</xdr:row>
          <xdr:rowOff>19050</xdr:rowOff>
        </xdr:from>
        <xdr:to>
          <xdr:col>4</xdr:col>
          <xdr:colOff>609600</xdr:colOff>
          <xdr:row>118</xdr:row>
          <xdr:rowOff>247650</xdr:rowOff>
        </xdr:to>
        <xdr:sp macro="" textlink="">
          <xdr:nvSpPr>
            <xdr:cNvPr id="15544" name="Check Box 184" hidden="1">
              <a:extLst>
                <a:ext uri="{63B3BB69-23CF-44E3-9099-C40C66FF867C}">
                  <a14:compatExt spid="_x0000_s1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119</xdr:row>
          <xdr:rowOff>19050</xdr:rowOff>
        </xdr:from>
        <xdr:to>
          <xdr:col>4</xdr:col>
          <xdr:colOff>619125</xdr:colOff>
          <xdr:row>119</xdr:row>
          <xdr:rowOff>247650</xdr:rowOff>
        </xdr:to>
        <xdr:sp macro="" textlink="">
          <xdr:nvSpPr>
            <xdr:cNvPr id="15545" name="Check Box 185" hidden="1">
              <a:extLst>
                <a:ext uri="{63B3BB69-23CF-44E3-9099-C40C66FF867C}">
                  <a14:compatExt spid="_x0000_s1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qa.swu.ac.th/Users/QA-SO/Downloads/Users/kim/Dropbox/.dropbox.cache/2013-03-16/Users/nOomOn/Downloads/LearningCalculato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qa.swu.ac.th/Users/QA-SO/Downloads/Users/kim/Dropbox/.dropbox.cache/2013-03-16/Documents%20and%20Settings/Administrator/Local%20Settings/Temporary%20Internet%20Files/Content.IE5/UMQFJ94T/template54v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91;&#3634;&#3609;&#3611;&#3619;&#3632;&#3585;&#3633;&#3609;%202553-2557/&#3611;&#3619;&#3632;&#3585;&#3633;&#3609;&#3588;&#3640;&#3603;&#3616;&#3634;&#3614;%20&#3611;&#3637;&#3585;&#3634;&#3619;&#3624;&#3638;&#3585;&#3625;&#3634;%2057/&#3607;&#3604;&#3621;&#3629;&#3591;&#3605;&#3634;&#3619;&#3634;&#3591;&#3588;&#3635;&#3609;&#3623;&#3603;&#3588;&#3632;&#3649;&#3609;&#3609;/&#3607;&#3604;&#3626;&#3629;&#3610;&#3619;&#3632;&#3604;&#3633;&#3610;&#3588;&#3603;&#3632;/&#3619;&#3632;&#3604;&#3633;&#3610;&#3588;&#3603;&#3632;%20&#3617;&#3624;&#3623;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591;&#3634;&#3609;&#3611;&#3619;&#3632;&#3585;&#3633;&#3609;%202553-2558/&#3611;&#3619;&#3632;&#3585;&#3633;&#3609;&#3588;&#3640;&#3603;&#3616;&#3634;&#3614;%20&#3611;&#3637;&#3585;&#3634;&#3619;&#3624;&#3638;&#3585;&#3625;&#3634;%2058/28.&#3649;&#3610;&#3610;&#3615;&#3629;&#3619;&#3660;&#3617;&#3619;&#3634;&#3618;&#3591;&#3634;&#3609;&#3612;&#3621;&#3611;&#3619;&#3632;&#3648;&#3617;&#3636;&#3609;%202558/4.&#3605;&#3634;&#3619;&#3634;&#3591;&#3588;&#3635;&#3609;&#3623;&#3603;&#3588;&#3632;&#3649;&#3609;&#3609;%202558/&#3605;&#3634;&#3619;&#3634;&#3591;&#3588;&#3635;&#3609;&#3623;&#3603;&#3619;&#3632;&#3604;&#3633;&#3610;&#3588;&#3603;&#3632;%202558/&#3605;&#3634;&#3619;&#3634;&#3591;&#3588;&#3635;&#3609;&#3623;&#3603;%20&#3619;&#3632;&#3604;&#3633;&#3610;&#3588;&#3603;&#3632;-V2%20&#3649;&#3585;&#3657;&#3652;&#3586;%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to"/>
      <sheetName val="ป.1++"/>
      <sheetName val="ป.1++tem"/>
      <sheetName val="ป.1 (สกอ.)"/>
      <sheetName val="ป.1(สมศ.)"/>
      <sheetName val="ป.2"/>
      <sheetName val="ป.3"/>
      <sheetName val="info"/>
      <sheetName val="ป.4"/>
      <sheetName val="ป.5"/>
    </sheetNames>
    <sheetDataSet>
      <sheetData sheetId="0" refreshError="1"/>
      <sheetData sheetId="1"/>
      <sheetData sheetId="2"/>
      <sheetData sheetId="3"/>
      <sheetData sheetId="4"/>
      <sheetData sheetId="5" refreshError="1"/>
      <sheetData sheetId="6" refreshError="1"/>
      <sheetData sheetId="7">
        <row r="3">
          <cell r="E3" t="str">
            <v>คณะทันตแพทยศาสตร์</v>
          </cell>
        </row>
        <row r="4">
          <cell r="E4" t="str">
            <v>คณะเทคโนโลยีและนวัตกรรมผลิตภัณฑ์การเกษตร</v>
          </cell>
        </row>
        <row r="5">
          <cell r="E5" t="str">
            <v>คณะพยาบาลศาสตร์</v>
          </cell>
        </row>
        <row r="6">
          <cell r="E6" t="str">
            <v>คณะพลศึกษา</v>
          </cell>
        </row>
        <row r="7">
          <cell r="E7" t="str">
            <v>คณะแพทยศาสตร์</v>
          </cell>
        </row>
        <row r="8">
          <cell r="E8" t="str">
            <v>คณะเภสัชศาสตร์</v>
          </cell>
        </row>
        <row r="9">
          <cell r="E9" t="str">
            <v>คณะมนุษยศาสตร์</v>
          </cell>
        </row>
        <row r="10">
          <cell r="E10" t="str">
            <v>คณะวัฒนธรรมสิ่งแวดล้อมและการท่องเที่ยวเชิงนิเวศ</v>
          </cell>
        </row>
        <row r="11">
          <cell r="E11" t="str">
            <v>คณะวิทยาศาสตร์</v>
          </cell>
        </row>
        <row r="12">
          <cell r="E12" t="str">
            <v>คณะวิศวกรรมศาสตร์</v>
          </cell>
        </row>
        <row r="13">
          <cell r="E13" t="str">
            <v>คณะศิลปกรรมศาสตร์</v>
          </cell>
        </row>
        <row r="14">
          <cell r="E14" t="str">
            <v>คณะศึกษาศาสตร์</v>
          </cell>
        </row>
        <row r="15">
          <cell r="E15" t="str">
            <v>คณะสหเวชศาสตร์</v>
          </cell>
        </row>
        <row r="16">
          <cell r="E16" t="str">
            <v>คณะสังคมศาสตร์</v>
          </cell>
        </row>
        <row r="17">
          <cell r="E17" t="str">
            <v>บัณฑิตวิทยาลัย</v>
          </cell>
        </row>
        <row r="18">
          <cell r="E18" t="str">
            <v>วิทยาลัยนวัตกรรมสื่อสารสังคม</v>
          </cell>
        </row>
        <row r="19">
          <cell r="E19" t="str">
            <v>วิทยาลัยนานาชาติเพื่อศึกษาความยั่งยืน</v>
          </cell>
        </row>
        <row r="20">
          <cell r="E20" t="str">
            <v>วิทยาลัยโพธิวิชชาลัย</v>
          </cell>
        </row>
        <row r="21">
          <cell r="E21" t="str">
            <v>ศูนย์วิทยาศาสตรศึกษา</v>
          </cell>
        </row>
        <row r="22">
          <cell r="E22" t="str">
            <v>สถาบันวิจัยพฤติกรรมศาสตร์</v>
          </cell>
        </row>
        <row r="23">
          <cell r="E23" t="str">
            <v>สำนักทดสอบทางการศึกษาและจิตวิทยา</v>
          </cell>
        </row>
        <row r="24">
          <cell r="E24" t="str">
            <v>สำนักวิชาเศรษฐศาสตร์และนโยบายสาธารณะ</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ulty"/>
      <sheetName val="Goal"/>
      <sheetName val="CDS"/>
      <sheetName val="Div"/>
      <sheetName val="info"/>
      <sheetName val="2553"/>
      <sheetName val="2554"/>
      <sheetName val="2555"/>
      <sheetName val="2554 (สมศ)"/>
      <sheetName val="2554 (สกอ)"/>
      <sheetName val="ป.2"/>
      <sheetName val="ป.3"/>
      <sheetName val="ป.4"/>
      <sheetName val="ป.5"/>
    </sheetNames>
    <sheetDataSet>
      <sheetData sheetId="0"/>
      <sheetData sheetId="1"/>
      <sheetData sheetId="2"/>
      <sheetData sheetId="3"/>
      <sheetData sheetId="4">
        <row r="1">
          <cell r="E1" t="str">
            <v>คณะทันตแพทยศาสตร์</v>
          </cell>
          <cell r="G1" t="str">
            <v xml:space="preserve"> -เลือก-</v>
          </cell>
        </row>
        <row r="2">
          <cell r="E2" t="str">
            <v>คณะเทคโนโลยีและนวัตกรรมผลิตภัณฑ์การเกษตร</v>
          </cell>
          <cell r="G2" t="str">
            <v>มี</v>
          </cell>
        </row>
        <row r="3">
          <cell r="E3" t="str">
            <v>คณะพยาบาลศาสตร์</v>
          </cell>
          <cell r="G3" t="str">
            <v>ไม่มี</v>
          </cell>
        </row>
        <row r="4">
          <cell r="E4" t="str">
            <v>คณะพลศึกษา</v>
          </cell>
        </row>
        <row r="5">
          <cell r="E5" t="str">
            <v>คณะแพทยศาสตร์</v>
          </cell>
        </row>
        <row r="6">
          <cell r="E6" t="str">
            <v>คณะเภสัชศาสตร์</v>
          </cell>
        </row>
        <row r="7">
          <cell r="E7" t="str">
            <v>คณะมนุษยศาสตร์</v>
          </cell>
        </row>
        <row r="8">
          <cell r="E8" t="str">
            <v>คณะวัฒนธรรมสิ่งแวดล้อมและการท่องเที่ยวเชิงนิเวศ</v>
          </cell>
        </row>
        <row r="9">
          <cell r="E9" t="str">
            <v>คณะวิทยาศาสตร์</v>
          </cell>
        </row>
        <row r="10">
          <cell r="E10" t="str">
            <v>คณะวิศวกรรมศาสตร์</v>
          </cell>
        </row>
        <row r="11">
          <cell r="E11" t="str">
            <v>คณะศิลปกรรมศาสตร์</v>
          </cell>
        </row>
        <row r="12">
          <cell r="E12" t="str">
            <v>คณะศึกษาศาสตร์</v>
          </cell>
        </row>
        <row r="13">
          <cell r="E13" t="str">
            <v>คณะสหเวชศาสตร์</v>
          </cell>
        </row>
        <row r="14">
          <cell r="E14" t="str">
            <v>คณะสังคมศาสตร์</v>
          </cell>
        </row>
        <row r="15">
          <cell r="E15" t="str">
            <v>บัณฑิตวิทยาลัย</v>
          </cell>
        </row>
        <row r="16">
          <cell r="E16" t="str">
            <v>วิทยาลัยนวัตกรรมสื่อสารสังคม</v>
          </cell>
        </row>
        <row r="17">
          <cell r="E17" t="str">
            <v>วิทยาลัยนานาชาติเพื่อศึกษาความยั่งยืน</v>
          </cell>
        </row>
        <row r="18">
          <cell r="E18" t="str">
            <v>วิทยาลัยโพธิวิชชาลัย</v>
          </cell>
        </row>
        <row r="19">
          <cell r="E19" t="str">
            <v>ศูนย์วิทยาศาสตรศึกษา</v>
          </cell>
        </row>
        <row r="20">
          <cell r="E20" t="str">
            <v>สถาบันวิจัยพฤติกรรมศาสตร์</v>
          </cell>
        </row>
        <row r="21">
          <cell r="E21" t="str">
            <v>สำนักทดสอบทางการศึกษาและจิตวิทยา</v>
          </cell>
        </row>
        <row r="22">
          <cell r="E22" t="str">
            <v>สำนักวิชาเศรษฐศาสตร์และนโยบายสาธารณะ</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ulty"/>
      <sheetName val="curriculum"/>
      <sheetName val="Goal"/>
      <sheetName val="CDS"/>
      <sheetName val="Div"/>
      <sheetName val="QUALITY"/>
      <sheetName val="2553"/>
      <sheetName val="info"/>
      <sheetName val="ป.1++"/>
      <sheetName val="ป.1(สกอ.)"/>
      <sheetName val="ป.2++"/>
      <sheetName val="ป.2(สกอ.)"/>
      <sheetName val="Data_curri"/>
      <sheetName val="ftes"/>
    </sheetNames>
    <sheetDataSet>
      <sheetData sheetId="0">
        <row r="3">
          <cell r="D3" t="str">
            <v>ศูนย์วิทยาศาสตรศึกษา</v>
          </cell>
        </row>
      </sheetData>
      <sheetData sheetId="1">
        <row r="4">
          <cell r="C4" t="str">
            <v>หลักสูตรการศึกษามหาบัณฑิต สาขาวิชาวิทยาศาสตร์ศึกษา</v>
          </cell>
        </row>
      </sheetData>
      <sheetData sheetId="2">
        <row r="6">
          <cell r="E6">
            <v>85.71</v>
          </cell>
        </row>
      </sheetData>
      <sheetData sheetId="3">
        <row r="17">
          <cell r="E17" t="str">
            <v/>
          </cell>
        </row>
      </sheetData>
      <sheetData sheetId="4"/>
      <sheetData sheetId="5">
        <row r="7">
          <cell r="E7" t="str">
            <v xml:space="preserve"> -เลือก-</v>
          </cell>
        </row>
      </sheetData>
      <sheetData sheetId="6"/>
      <sheetData sheetId="7">
        <row r="1">
          <cell r="E1" t="str">
            <v>คณะทันตแพทยศาสตร์</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อกผลระดับหลักสูตร"/>
      <sheetName val="Sheet1"/>
      <sheetName val="วิธีใช้ "/>
      <sheetName val="ตาราง 1 "/>
      <sheetName val="ตาราง 2"/>
      <sheetName val="CDS"/>
      <sheetName val="Sheet4"/>
      <sheetName val="อ้างอิง"/>
    </sheetNames>
    <sheetDataSet>
      <sheetData sheetId="0"/>
      <sheetData sheetId="1"/>
      <sheetData sheetId="2"/>
      <sheetData sheetId="3">
        <row r="2">
          <cell r="C2" t="str">
            <v>เลือกคณะ/หน่วยงาน</v>
          </cell>
        </row>
        <row r="6">
          <cell r="K6" t="str">
            <v/>
          </cell>
        </row>
        <row r="7">
          <cell r="K7" t="str">
            <v/>
          </cell>
        </row>
        <row r="8">
          <cell r="K8" t="str">
            <v/>
          </cell>
        </row>
        <row r="9">
          <cell r="K9" t="str">
            <v/>
          </cell>
        </row>
        <row r="50">
          <cell r="K50" t="str">
            <v/>
          </cell>
        </row>
        <row r="51">
          <cell r="K51" t="str">
            <v/>
          </cell>
        </row>
        <row r="55">
          <cell r="K55" t="str">
            <v/>
          </cell>
        </row>
        <row r="56">
          <cell r="K56" t="str">
            <v/>
          </cell>
        </row>
        <row r="69">
          <cell r="K69" t="str">
            <v/>
          </cell>
        </row>
        <row r="85">
          <cell r="K85" t="str">
            <v/>
          </cell>
        </row>
        <row r="89">
          <cell r="K89" t="str">
            <v/>
          </cell>
        </row>
        <row r="93">
          <cell r="K93" t="str">
            <v/>
          </cell>
        </row>
        <row r="94">
          <cell r="K94" t="str">
            <v/>
          </cell>
        </row>
      </sheetData>
      <sheetData sheetId="4"/>
      <sheetData sheetId="5"/>
      <sheetData sheetId="6"/>
      <sheetData sheetId="7"/>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8" sqref="C8"/>
    </sheetView>
  </sheetViews>
  <sheetFormatPr defaultRowHeight="19.5" x14ac:dyDescent="0.25"/>
  <sheetData>
    <row r="2" spans="1:2" x14ac:dyDescent="0.25">
      <c r="A2">
        <v>1.1000000000000001</v>
      </c>
      <c r="B2" s="5">
        <f>'สรุปตาราง 1'!I6</f>
        <v>3.2207692307692306</v>
      </c>
    </row>
    <row r="3" spans="1:2" x14ac:dyDescent="0.25">
      <c r="A3">
        <v>1.2</v>
      </c>
      <c r="B3" s="1">
        <f>'สรุปตาราง 1'!I7</f>
        <v>3.4463276836158192</v>
      </c>
    </row>
    <row r="4" spans="1:2" x14ac:dyDescent="0.25">
      <c r="A4">
        <v>1.3</v>
      </c>
      <c r="B4" s="1">
        <f>'สรุปตาราง 1'!I8</f>
        <v>1.9114877589453863</v>
      </c>
    </row>
    <row r="5" spans="1:2" x14ac:dyDescent="0.25">
      <c r="A5">
        <v>1.4</v>
      </c>
      <c r="B5" s="5">
        <f>'สรุปตาราง 1'!I9</f>
        <v>5</v>
      </c>
    </row>
    <row r="6" spans="1:2" x14ac:dyDescent="0.25">
      <c r="A6">
        <v>1.5</v>
      </c>
      <c r="B6" s="5">
        <f>'สรุปตาราง 1'!I10</f>
        <v>5</v>
      </c>
    </row>
    <row r="7" spans="1:2" x14ac:dyDescent="0.25">
      <c r="A7">
        <v>2.1</v>
      </c>
      <c r="B7" s="5">
        <f>'สรุปตาราง 1'!I13</f>
        <v>5</v>
      </c>
    </row>
    <row r="8" spans="1:2" x14ac:dyDescent="0.25">
      <c r="A8">
        <v>2.2000000000000002</v>
      </c>
      <c r="B8" s="1">
        <f>'สรุปตาราง 1'!I14</f>
        <v>5</v>
      </c>
    </row>
    <row r="9" spans="1:2" x14ac:dyDescent="0.25">
      <c r="A9">
        <v>2.2999999999999998</v>
      </c>
      <c r="B9" s="1">
        <f>'สรุปตาราง 1'!I15</f>
        <v>4.8144444444444439</v>
      </c>
    </row>
    <row r="10" spans="1:2" x14ac:dyDescent="0.25">
      <c r="A10">
        <v>3.1</v>
      </c>
      <c r="B10" s="5">
        <f>'สรุปตาราง 1'!I18</f>
        <v>5</v>
      </c>
    </row>
    <row r="11" spans="1:2" x14ac:dyDescent="0.25">
      <c r="A11">
        <v>4.0999999999999996</v>
      </c>
      <c r="B11" s="5">
        <f>'สรุปตาราง 1'!I21</f>
        <v>5</v>
      </c>
    </row>
    <row r="12" spans="1:2" x14ac:dyDescent="0.25">
      <c r="A12">
        <v>5.0999999999999996</v>
      </c>
      <c r="B12" s="5">
        <f>'สรุปตาราง 1'!I24</f>
        <v>5</v>
      </c>
    </row>
    <row r="13" spans="1:2" x14ac:dyDescent="0.25">
      <c r="A13">
        <v>5.3</v>
      </c>
      <c r="B13" s="5">
        <f>'สรุปตาราง 1'!I26</f>
        <v>5</v>
      </c>
    </row>
    <row r="14" spans="1:2" x14ac:dyDescent="0.25">
      <c r="A14">
        <v>5.2</v>
      </c>
      <c r="B14" s="5">
        <f>'สรุปตาราง 1'!I25</f>
        <v>4.3337500000000002</v>
      </c>
    </row>
  </sheetData>
  <sheetProtection algorithmName="SHA-512" hashValue="cztxLxo8Ar2mABWO2qYCpxZ6aGllwy5vXkuFLEuqfnsOiqF+0aiguHxIRZoKtMn+xX5/hcyhLrtAPMwj4Mu5Fg==" saltValue="nqJersbm2sq3nTfwtcFXm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D20" sqref="D20"/>
    </sheetView>
  </sheetViews>
  <sheetFormatPr defaultRowHeight="19.5" x14ac:dyDescent="0.25"/>
  <cols>
    <col min="1" max="1" width="3.6328125" customWidth="1"/>
    <col min="2" max="2" width="24.90625" customWidth="1"/>
  </cols>
  <sheetData>
    <row r="1" spans="1:8" ht="24.75" x14ac:dyDescent="0.6">
      <c r="A1" s="280" t="s">
        <v>822</v>
      </c>
    </row>
    <row r="2" spans="1:8" ht="22.5" x14ac:dyDescent="0.25">
      <c r="A2" s="594" t="s">
        <v>125</v>
      </c>
      <c r="B2" s="594" t="s">
        <v>126</v>
      </c>
      <c r="C2" s="594" t="s">
        <v>0</v>
      </c>
      <c r="D2" s="594"/>
      <c r="E2" s="594"/>
      <c r="F2" s="594" t="s">
        <v>144</v>
      </c>
    </row>
    <row r="3" spans="1:8" ht="45" x14ac:dyDescent="0.25">
      <c r="A3" s="594"/>
      <c r="B3" s="594"/>
      <c r="C3" s="314" t="s">
        <v>1</v>
      </c>
      <c r="D3" s="314" t="s">
        <v>3</v>
      </c>
      <c r="E3" s="314" t="s">
        <v>678</v>
      </c>
      <c r="F3" s="594"/>
    </row>
    <row r="4" spans="1:8" ht="22.5" x14ac:dyDescent="0.25">
      <c r="A4" s="532">
        <v>1</v>
      </c>
      <c r="B4" s="296" t="s">
        <v>133</v>
      </c>
      <c r="C4" s="362">
        <f>SUM(C5:C6)</f>
        <v>37.200000000000003</v>
      </c>
      <c r="D4" s="314">
        <f>SUM(D5:D6)</f>
        <v>93</v>
      </c>
      <c r="E4" s="363">
        <f>SUM(C4/D4)*100</f>
        <v>40</v>
      </c>
      <c r="F4" s="364">
        <f>SUM(F5:F6)/2</f>
        <v>4.650537634408602</v>
      </c>
    </row>
    <row r="5" spans="1:8" ht="22.5" x14ac:dyDescent="0.25">
      <c r="A5" s="532"/>
      <c r="B5" s="365" t="s">
        <v>676</v>
      </c>
      <c r="C5" s="363">
        <f>'2.3-2'!D27</f>
        <v>33.200000000000003</v>
      </c>
      <c r="D5" s="366">
        <f>'2.3-2'!D26</f>
        <v>77.5</v>
      </c>
      <c r="E5" s="363">
        <f>SUM(C5/D5)*100</f>
        <v>42.838709677419359</v>
      </c>
      <c r="F5" s="367">
        <f t="shared" ref="F5" si="0">IF(C5="-","",IF(ISERROR(E5*5/30),,IF(E5*5/30&gt;5,5,E5*5/30)))</f>
        <v>5</v>
      </c>
    </row>
    <row r="6" spans="1:8" ht="22.5" x14ac:dyDescent="0.25">
      <c r="A6" s="532"/>
      <c r="B6" s="365" t="s">
        <v>145</v>
      </c>
      <c r="C6" s="363">
        <f>'2.3-2'!E27</f>
        <v>4</v>
      </c>
      <c r="D6" s="366">
        <f>'2.3-2'!E26</f>
        <v>15.5</v>
      </c>
      <c r="E6" s="363">
        <f t="shared" ref="E6:E10" si="1">SUM(C6/D6)*100</f>
        <v>25.806451612903224</v>
      </c>
      <c r="F6" s="367">
        <f>IF(C6="-","",IF(ISERROR(E6*5/30),,IF(E6*5/30&gt;5,5,E6*5/30)))</f>
        <v>4.301075268817204</v>
      </c>
    </row>
    <row r="7" spans="1:8" ht="22.5" x14ac:dyDescent="0.25">
      <c r="A7" s="303">
        <v>2</v>
      </c>
      <c r="B7" s="296" t="s">
        <v>136</v>
      </c>
      <c r="C7" s="317">
        <f>'2.3-2'!G27</f>
        <v>14.6</v>
      </c>
      <c r="D7" s="303">
        <f>'2.3-2'!G26</f>
        <v>35</v>
      </c>
      <c r="E7" s="317">
        <f t="shared" si="1"/>
        <v>41.714285714285715</v>
      </c>
      <c r="F7" s="368">
        <f>IF(C7="-","",IF(ISERROR(E7*5/30),,IF(E7*5/30&gt;5,5,E7*5/30)))</f>
        <v>5</v>
      </c>
    </row>
    <row r="8" spans="1:8" ht="22.5" x14ac:dyDescent="0.25">
      <c r="A8" s="303">
        <v>3</v>
      </c>
      <c r="B8" s="296" t="s">
        <v>137</v>
      </c>
      <c r="C8" s="317">
        <f>'2.3-2'!H27</f>
        <v>2.4</v>
      </c>
      <c r="D8" s="303">
        <f>'2.3-2'!H26</f>
        <v>22.5</v>
      </c>
      <c r="E8" s="317">
        <f t="shared" si="1"/>
        <v>10.666666666666666</v>
      </c>
      <c r="F8" s="368">
        <f t="shared" ref="F8" si="2">IF(C8="-","",IF(ISERROR(E8*5/30),,IF(E8*5/30&gt;5,5,E8*5/30)))</f>
        <v>1.7777777777777777</v>
      </c>
    </row>
    <row r="9" spans="1:8" ht="22.5" x14ac:dyDescent="0.25">
      <c r="A9" s="303">
        <v>4</v>
      </c>
      <c r="B9" s="296" t="s">
        <v>138</v>
      </c>
      <c r="C9" s="317">
        <f>'2.3-2'!I27</f>
        <v>15.399999999999999</v>
      </c>
      <c r="D9" s="303">
        <f>'2.3-2'!I26</f>
        <v>77</v>
      </c>
      <c r="E9" s="317">
        <f t="shared" si="1"/>
        <v>20</v>
      </c>
      <c r="F9" s="368">
        <f>IF(C9="-","",IF(ISERROR(E9*5/20),,IF(E9*5/20&gt;5,5,E9*5/20)))</f>
        <v>5</v>
      </c>
    </row>
    <row r="10" spans="1:8" ht="22.5" x14ac:dyDescent="0.25">
      <c r="A10" s="303">
        <v>5</v>
      </c>
      <c r="B10" s="296" t="s">
        <v>139</v>
      </c>
      <c r="C10" s="317">
        <f>'2.3-2'!J27</f>
        <v>25.599999999999994</v>
      </c>
      <c r="D10" s="303">
        <f>'2.3-2'!J26</f>
        <v>63.5</v>
      </c>
      <c r="E10" s="317">
        <f t="shared" si="1"/>
        <v>40.314960629921245</v>
      </c>
      <c r="F10" s="368">
        <f t="shared" ref="F10:F11" si="3">IF(C10="-","",IF(ISERROR(E10*5/20),,IF(E10*5/20&gt;5,5,E10*5/20)))</f>
        <v>5</v>
      </c>
      <c r="H10" s="370"/>
    </row>
    <row r="11" spans="1:8" ht="22.5" x14ac:dyDescent="0.25">
      <c r="A11" s="303">
        <v>6</v>
      </c>
      <c r="B11" s="296" t="s">
        <v>140</v>
      </c>
      <c r="C11" s="317">
        <f>'2.3-2'!K27</f>
        <v>15.199999999999996</v>
      </c>
      <c r="D11" s="303">
        <f>'2.3-2'!K26</f>
        <v>57.5</v>
      </c>
      <c r="E11" s="317">
        <f>SUM(C11/D11)*100</f>
        <v>26.434782608695645</v>
      </c>
      <c r="F11" s="368">
        <f t="shared" si="3"/>
        <v>5</v>
      </c>
      <c r="H11" s="371"/>
    </row>
    <row r="12" spans="1:8" ht="22.5" x14ac:dyDescent="0.25">
      <c r="A12" s="532">
        <v>7</v>
      </c>
      <c r="B12" s="595" t="s">
        <v>141</v>
      </c>
      <c r="C12" s="595"/>
      <c r="D12" s="595"/>
      <c r="E12" s="595"/>
      <c r="F12" s="368">
        <f>SUM(F13,F14)/2</f>
        <v>5</v>
      </c>
    </row>
    <row r="13" spans="1:8" ht="22.5" x14ac:dyDescent="0.25">
      <c r="A13" s="532"/>
      <c r="B13" s="369" t="s">
        <v>142</v>
      </c>
      <c r="C13" s="363">
        <f>'2.3-2'!L27</f>
        <v>2.2000000000000002</v>
      </c>
      <c r="D13" s="366">
        <f>'2.3-2'!L26</f>
        <v>4</v>
      </c>
      <c r="E13" s="363">
        <f t="shared" ref="E13:E15" si="4">SUM(C13/D13)*100</f>
        <v>55.000000000000007</v>
      </c>
      <c r="F13" s="367">
        <f t="shared" ref="F13" si="5">IF(C13="-","",IF(ISERROR(E13*5/30),,IF(E13*5/30&gt;5,5,E13*5/30)))</f>
        <v>5</v>
      </c>
    </row>
    <row r="14" spans="1:8" ht="45" x14ac:dyDescent="0.25">
      <c r="A14" s="532"/>
      <c r="B14" s="365" t="s">
        <v>677</v>
      </c>
      <c r="C14" s="363">
        <f>'2.3-2'!M27</f>
        <v>17.999999999999996</v>
      </c>
      <c r="D14" s="366">
        <f>'2.3-2'!M26</f>
        <v>22</v>
      </c>
      <c r="E14" s="363">
        <f t="shared" si="4"/>
        <v>81.818181818181799</v>
      </c>
      <c r="F14" s="367">
        <f>IF(C14="-","",IF(ISERROR(E14*5/20),,IF(E14*5/20&gt;5,5,E14*5/20)))</f>
        <v>5</v>
      </c>
    </row>
    <row r="15" spans="1:8" ht="22.5" x14ac:dyDescent="0.25">
      <c r="A15" s="303">
        <v>8</v>
      </c>
      <c r="B15" s="296" t="s">
        <v>379</v>
      </c>
      <c r="C15" s="317">
        <f>'2.3-2'!O27</f>
        <v>0.6</v>
      </c>
      <c r="D15" s="303">
        <f>'2.3-2'!O26</f>
        <v>1</v>
      </c>
      <c r="E15" s="317">
        <f t="shared" si="4"/>
        <v>60</v>
      </c>
      <c r="F15" s="368">
        <f>IF(C15="-","",IF(ISERROR(E15*5/20),,IF(E15*5/20&gt;5,5,E15*5/20)))</f>
        <v>5</v>
      </c>
    </row>
    <row r="16" spans="1:8" ht="22.5" x14ac:dyDescent="0.25">
      <c r="A16" s="303"/>
      <c r="B16" s="594" t="s">
        <v>669</v>
      </c>
      <c r="C16" s="594"/>
      <c r="D16" s="594"/>
      <c r="E16" s="362">
        <f>SUM(F4,F7:F12,F15)</f>
        <v>36.428315412186379</v>
      </c>
      <c r="F16" s="362">
        <f>SUM(F4,F7,F8,F9,F10,F11,F12,F15)/8</f>
        <v>4.5535394265232974</v>
      </c>
    </row>
  </sheetData>
  <mergeCells count="8">
    <mergeCell ref="F2:F3"/>
    <mergeCell ref="B12:E12"/>
    <mergeCell ref="B16:D16"/>
    <mergeCell ref="A4:A6"/>
    <mergeCell ref="A12:A14"/>
    <mergeCell ref="A2:A3"/>
    <mergeCell ref="B2:B3"/>
    <mergeCell ref="C2:E2"/>
  </mergeCells>
  <pageMargins left="0.7" right="0.7" top="0.75" bottom="0.75" header="0.3" footer="0.3"/>
  <ignoredErrors>
    <ignoredError sqref="F1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2" workbookViewId="0">
      <selection activeCell="J9" sqref="J9"/>
    </sheetView>
  </sheetViews>
  <sheetFormatPr defaultColWidth="9.08984375" defaultRowHeight="14.25" x14ac:dyDescent="0.2"/>
  <cols>
    <col min="1" max="1" width="4.26953125" style="133" customWidth="1"/>
    <col min="2" max="2" width="10.6328125" style="133" bestFit="1" customWidth="1"/>
    <col min="3" max="3" width="9.6328125" style="133" customWidth="1"/>
    <col min="4" max="4" width="10" style="133" customWidth="1"/>
    <col min="5" max="5" width="10.81640625" style="133" customWidth="1"/>
    <col min="6" max="6" width="10.54296875" style="133" customWidth="1"/>
    <col min="7" max="7" width="11" style="133" bestFit="1" customWidth="1"/>
    <col min="8" max="8" width="11.26953125" style="133" bestFit="1" customWidth="1"/>
    <col min="9" max="9" width="12.08984375" style="133" bestFit="1" customWidth="1"/>
    <col min="10" max="16384" width="9.08984375" style="133"/>
  </cols>
  <sheetData>
    <row r="1" spans="1:10" ht="24.75" x14ac:dyDescent="0.6">
      <c r="A1" s="280" t="s">
        <v>823</v>
      </c>
    </row>
    <row r="2" spans="1:10" ht="27.75" x14ac:dyDescent="0.65">
      <c r="A2" s="150"/>
      <c r="B2" s="596" t="s">
        <v>842</v>
      </c>
      <c r="C2" s="596"/>
      <c r="D2" s="596"/>
      <c r="E2" s="596"/>
      <c r="F2" s="596"/>
      <c r="G2" s="596"/>
      <c r="H2" s="596"/>
      <c r="I2" s="596"/>
    </row>
    <row r="3" spans="1:10" ht="74.25" x14ac:dyDescent="0.45">
      <c r="A3" s="150"/>
      <c r="B3" s="372" t="s">
        <v>685</v>
      </c>
      <c r="C3" s="372" t="s">
        <v>686</v>
      </c>
      <c r="D3" s="372" t="s">
        <v>825</v>
      </c>
      <c r="E3" s="372" t="s">
        <v>826</v>
      </c>
      <c r="F3" s="372" t="s">
        <v>824</v>
      </c>
      <c r="G3" s="372" t="s">
        <v>687</v>
      </c>
      <c r="H3" s="372" t="s">
        <v>827</v>
      </c>
      <c r="I3" s="372" t="s">
        <v>841</v>
      </c>
      <c r="J3" s="372" t="s">
        <v>863</v>
      </c>
    </row>
    <row r="4" spans="1:10" ht="24.75" x14ac:dyDescent="0.6">
      <c r="A4" s="150"/>
      <c r="B4" s="374" t="s">
        <v>688</v>
      </c>
      <c r="C4" s="375">
        <f>SUM(C5:C10)/6</f>
        <v>4.2166666666666668</v>
      </c>
      <c r="D4" s="375">
        <f>SUM(D5:D10)/6</f>
        <v>3.3916666666666671</v>
      </c>
      <c r="E4" s="375">
        <f>SUM(E5:E10)/6</f>
        <v>3.85</v>
      </c>
      <c r="F4" s="375">
        <f t="shared" ref="F4:I4" si="0">SUM(F5:F10)/6</f>
        <v>3.75</v>
      </c>
      <c r="G4" s="375">
        <f t="shared" si="0"/>
        <v>2.9033333333333338</v>
      </c>
      <c r="H4" s="375">
        <f t="shared" si="0"/>
        <v>4.34</v>
      </c>
      <c r="I4" s="375">
        <f t="shared" si="0"/>
        <v>3.8366666666666664</v>
      </c>
      <c r="J4" s="375">
        <f t="shared" ref="J4" si="1">SUM(J5:J10)/6</f>
        <v>3.8366666666666664</v>
      </c>
    </row>
    <row r="5" spans="1:10" ht="24.75" x14ac:dyDescent="0.6">
      <c r="A5" s="150"/>
      <c r="B5" s="373">
        <v>1.1000000000000001</v>
      </c>
      <c r="C5" s="379">
        <v>3.07</v>
      </c>
      <c r="D5" s="379">
        <v>3.19</v>
      </c>
      <c r="E5" s="379">
        <v>3.04</v>
      </c>
      <c r="F5" s="379">
        <v>2.7</v>
      </c>
      <c r="G5" s="379">
        <v>2.71</v>
      </c>
      <c r="H5" s="379">
        <v>2.34</v>
      </c>
      <c r="I5" s="379">
        <v>2.54</v>
      </c>
      <c r="J5" s="379">
        <v>2.54</v>
      </c>
    </row>
    <row r="6" spans="1:10" ht="24.75" x14ac:dyDescent="0.6">
      <c r="A6" s="150"/>
      <c r="B6" s="373">
        <v>1.2</v>
      </c>
      <c r="C6" s="379">
        <v>5</v>
      </c>
      <c r="D6" s="379">
        <v>2.76</v>
      </c>
      <c r="E6" s="379">
        <v>2.82</v>
      </c>
      <c r="F6" s="379">
        <v>4.1100000000000003</v>
      </c>
      <c r="G6" s="379">
        <v>1.96</v>
      </c>
      <c r="H6" s="379">
        <v>5</v>
      </c>
      <c r="I6" s="379">
        <v>5</v>
      </c>
      <c r="J6" s="379">
        <v>5</v>
      </c>
    </row>
    <row r="7" spans="1:10" ht="24.75" x14ac:dyDescent="0.6">
      <c r="A7" s="150"/>
      <c r="B7" s="373">
        <v>1.3</v>
      </c>
      <c r="C7" s="379">
        <v>2.23</v>
      </c>
      <c r="D7" s="379">
        <v>1.24</v>
      </c>
      <c r="E7" s="379">
        <v>2.2400000000000002</v>
      </c>
      <c r="F7" s="379">
        <v>3.69</v>
      </c>
      <c r="G7" s="379">
        <v>2.75</v>
      </c>
      <c r="H7" s="379">
        <v>3.7</v>
      </c>
      <c r="I7" s="379">
        <v>0.48</v>
      </c>
      <c r="J7" s="379">
        <v>0.48</v>
      </c>
    </row>
    <row r="8" spans="1:10" ht="24.75" x14ac:dyDescent="0.6">
      <c r="A8" s="150"/>
      <c r="B8" s="373">
        <v>1.4</v>
      </c>
      <c r="C8" s="379">
        <v>5</v>
      </c>
      <c r="D8" s="379">
        <v>3.16</v>
      </c>
      <c r="E8" s="379">
        <v>5</v>
      </c>
      <c r="F8" s="379">
        <v>5</v>
      </c>
      <c r="G8" s="379">
        <v>0</v>
      </c>
      <c r="H8" s="379">
        <v>5</v>
      </c>
      <c r="I8" s="379">
        <v>5</v>
      </c>
      <c r="J8" s="379">
        <v>5</v>
      </c>
    </row>
    <row r="9" spans="1:10" ht="24.75" x14ac:dyDescent="0.6">
      <c r="A9" s="150"/>
      <c r="B9" s="373">
        <v>1.5</v>
      </c>
      <c r="C9" s="379">
        <v>5</v>
      </c>
      <c r="D9" s="379">
        <v>5</v>
      </c>
      <c r="E9" s="379">
        <v>5</v>
      </c>
      <c r="F9" s="379">
        <v>4</v>
      </c>
      <c r="G9" s="379">
        <v>5</v>
      </c>
      <c r="H9" s="379">
        <v>5</v>
      </c>
      <c r="I9" s="379">
        <v>5</v>
      </c>
      <c r="J9" s="379">
        <v>5</v>
      </c>
    </row>
    <row r="10" spans="1:10" ht="24.75" x14ac:dyDescent="0.6">
      <c r="A10" s="150"/>
      <c r="B10" s="373">
        <v>1.6</v>
      </c>
      <c r="C10" s="379">
        <v>5</v>
      </c>
      <c r="D10" s="379">
        <v>5</v>
      </c>
      <c r="E10" s="379">
        <v>5</v>
      </c>
      <c r="F10" s="379">
        <v>3</v>
      </c>
      <c r="G10" s="379">
        <v>5</v>
      </c>
      <c r="H10" s="379">
        <v>5</v>
      </c>
      <c r="I10" s="379">
        <v>5</v>
      </c>
      <c r="J10" s="379">
        <v>5</v>
      </c>
    </row>
    <row r="11" spans="1:10" ht="24.75" x14ac:dyDescent="0.6">
      <c r="A11" s="150"/>
      <c r="B11" s="374" t="s">
        <v>689</v>
      </c>
      <c r="C11" s="375">
        <f>SUM(C12:C14)/3</f>
        <v>3.9133333333333336</v>
      </c>
      <c r="D11" s="375">
        <f>SUM(D12:D14)/3</f>
        <v>5</v>
      </c>
      <c r="E11" s="375">
        <f>SUM(E12:E14)/3</f>
        <v>4.9866666666666672</v>
      </c>
      <c r="F11" s="375">
        <f t="shared" ref="F11:I11" si="2">SUM(F12:F14)/3</f>
        <v>5</v>
      </c>
      <c r="G11" s="375">
        <f t="shared" si="2"/>
        <v>5</v>
      </c>
      <c r="H11" s="375">
        <f t="shared" si="2"/>
        <v>3.9266666666666663</v>
      </c>
      <c r="I11" s="375">
        <f t="shared" si="2"/>
        <v>5</v>
      </c>
      <c r="J11" s="375">
        <f t="shared" ref="J11" si="3">SUM(J12:J14)/3</f>
        <v>5</v>
      </c>
    </row>
    <row r="12" spans="1:10" ht="24.75" x14ac:dyDescent="0.6">
      <c r="A12" s="150"/>
      <c r="B12" s="373">
        <v>2.1</v>
      </c>
      <c r="C12" s="379">
        <v>5</v>
      </c>
      <c r="D12" s="379">
        <v>5</v>
      </c>
      <c r="E12" s="379">
        <v>5</v>
      </c>
      <c r="F12" s="379">
        <v>5</v>
      </c>
      <c r="G12" s="379">
        <v>5</v>
      </c>
      <c r="H12" s="379">
        <v>5</v>
      </c>
      <c r="I12" s="379">
        <v>5</v>
      </c>
      <c r="J12" s="379">
        <v>5</v>
      </c>
    </row>
    <row r="13" spans="1:10" ht="24.75" x14ac:dyDescent="0.6">
      <c r="A13" s="150"/>
      <c r="B13" s="373">
        <v>2.2000000000000002</v>
      </c>
      <c r="C13" s="379">
        <v>1.74</v>
      </c>
      <c r="D13" s="379">
        <v>5</v>
      </c>
      <c r="E13" s="379">
        <v>4.96</v>
      </c>
      <c r="F13" s="379">
        <v>5</v>
      </c>
      <c r="G13" s="379">
        <v>5</v>
      </c>
      <c r="H13" s="379">
        <v>5</v>
      </c>
      <c r="I13" s="379">
        <v>5</v>
      </c>
      <c r="J13" s="379">
        <v>5</v>
      </c>
    </row>
    <row r="14" spans="1:10" ht="24.75" x14ac:dyDescent="0.6">
      <c r="A14" s="150"/>
      <c r="B14" s="373">
        <v>2.2999999999999998</v>
      </c>
      <c r="C14" s="379">
        <v>5</v>
      </c>
      <c r="D14" s="379">
        <v>5</v>
      </c>
      <c r="E14" s="379">
        <v>5</v>
      </c>
      <c r="F14" s="379">
        <v>5</v>
      </c>
      <c r="G14" s="379">
        <v>5</v>
      </c>
      <c r="H14" s="379">
        <v>1.78</v>
      </c>
      <c r="I14" s="379">
        <v>5</v>
      </c>
      <c r="J14" s="379">
        <v>5</v>
      </c>
    </row>
    <row r="15" spans="1:10" ht="24.75" x14ac:dyDescent="0.45">
      <c r="A15" s="150"/>
      <c r="B15" s="378" t="s">
        <v>690</v>
      </c>
      <c r="C15" s="380">
        <f>C16</f>
        <v>5</v>
      </c>
      <c r="D15" s="380">
        <f>D16</f>
        <v>5</v>
      </c>
      <c r="E15" s="380">
        <f>E16</f>
        <v>5</v>
      </c>
      <c r="F15" s="380">
        <f t="shared" ref="F15:J15" si="4">F16</f>
        <v>4</v>
      </c>
      <c r="G15" s="380">
        <f t="shared" si="4"/>
        <v>5</v>
      </c>
      <c r="H15" s="380">
        <f t="shared" si="4"/>
        <v>5</v>
      </c>
      <c r="I15" s="380">
        <f t="shared" si="4"/>
        <v>5</v>
      </c>
      <c r="J15" s="380">
        <f t="shared" si="4"/>
        <v>5</v>
      </c>
    </row>
    <row r="16" spans="1:10" ht="24.75" x14ac:dyDescent="0.6">
      <c r="A16" s="150"/>
      <c r="B16" s="376">
        <v>3.1</v>
      </c>
      <c r="C16" s="383">
        <v>5</v>
      </c>
      <c r="D16" s="383">
        <v>5</v>
      </c>
      <c r="E16" s="383">
        <v>5</v>
      </c>
      <c r="F16" s="383">
        <v>4</v>
      </c>
      <c r="G16" s="383">
        <v>5</v>
      </c>
      <c r="H16" s="383">
        <v>5</v>
      </c>
      <c r="I16" s="383">
        <v>5</v>
      </c>
      <c r="J16" s="383">
        <v>5</v>
      </c>
    </row>
    <row r="17" spans="1:10" ht="24.75" x14ac:dyDescent="0.45">
      <c r="A17" s="150"/>
      <c r="B17" s="378" t="s">
        <v>691</v>
      </c>
      <c r="C17" s="380">
        <f>C18</f>
        <v>5</v>
      </c>
      <c r="D17" s="380">
        <f>D18</f>
        <v>5</v>
      </c>
      <c r="E17" s="380">
        <f>E18</f>
        <v>5</v>
      </c>
      <c r="F17" s="380">
        <f t="shared" ref="F17:J17" si="5">F18</f>
        <v>4</v>
      </c>
      <c r="G17" s="380">
        <f t="shared" si="5"/>
        <v>5</v>
      </c>
      <c r="H17" s="380">
        <f t="shared" si="5"/>
        <v>5</v>
      </c>
      <c r="I17" s="380">
        <f t="shared" si="5"/>
        <v>5</v>
      </c>
      <c r="J17" s="380">
        <f t="shared" si="5"/>
        <v>5</v>
      </c>
    </row>
    <row r="18" spans="1:10" ht="24.75" x14ac:dyDescent="0.6">
      <c r="A18" s="150"/>
      <c r="B18" s="376">
        <v>4.0999999999999996</v>
      </c>
      <c r="C18" s="383">
        <v>5</v>
      </c>
      <c r="D18" s="383">
        <v>5</v>
      </c>
      <c r="E18" s="383">
        <v>5</v>
      </c>
      <c r="F18" s="383">
        <v>4</v>
      </c>
      <c r="G18" s="383">
        <v>5</v>
      </c>
      <c r="H18" s="383">
        <v>5</v>
      </c>
      <c r="I18" s="383">
        <v>5</v>
      </c>
      <c r="J18" s="383">
        <v>5</v>
      </c>
    </row>
    <row r="19" spans="1:10" ht="24.75" x14ac:dyDescent="0.45">
      <c r="A19" s="150"/>
      <c r="B19" s="378" t="s">
        <v>692</v>
      </c>
      <c r="C19" s="380">
        <f>SUM(C20:C21)/2</f>
        <v>5</v>
      </c>
      <c r="D19" s="380">
        <f>SUM(D20:D21)/2</f>
        <v>4.5</v>
      </c>
      <c r="E19" s="380">
        <f>SUM(E20:E21)/2</f>
        <v>4.5</v>
      </c>
      <c r="F19" s="380">
        <f t="shared" ref="F19:I19" si="6">SUM(F20:F21)/2</f>
        <v>4.5</v>
      </c>
      <c r="G19" s="380">
        <f t="shared" si="6"/>
        <v>4.5</v>
      </c>
      <c r="H19" s="380">
        <f t="shared" si="6"/>
        <v>5</v>
      </c>
      <c r="I19" s="380">
        <f t="shared" si="6"/>
        <v>4.5</v>
      </c>
      <c r="J19" s="380">
        <f t="shared" ref="J19" si="7">SUM(J20:J21)/2</f>
        <v>4.5</v>
      </c>
    </row>
    <row r="20" spans="1:10" ht="24.75" x14ac:dyDescent="0.6">
      <c r="A20" s="150"/>
      <c r="B20" s="376">
        <v>5.0999999999999996</v>
      </c>
      <c r="C20" s="383">
        <v>5</v>
      </c>
      <c r="D20" s="383">
        <v>4</v>
      </c>
      <c r="E20" s="383">
        <v>4</v>
      </c>
      <c r="F20" s="383">
        <v>4</v>
      </c>
      <c r="G20" s="383">
        <v>5</v>
      </c>
      <c r="H20" s="383">
        <v>5</v>
      </c>
      <c r="I20" s="383">
        <v>5</v>
      </c>
      <c r="J20" s="383">
        <v>5</v>
      </c>
    </row>
    <row r="21" spans="1:10" ht="24.75" x14ac:dyDescent="0.6">
      <c r="A21" s="150"/>
      <c r="B21" s="373">
        <v>5.2</v>
      </c>
      <c r="C21" s="379">
        <v>5</v>
      </c>
      <c r="D21" s="379">
        <v>5</v>
      </c>
      <c r="E21" s="379">
        <v>5</v>
      </c>
      <c r="F21" s="379">
        <v>5</v>
      </c>
      <c r="G21" s="379">
        <v>4</v>
      </c>
      <c r="H21" s="379">
        <v>5</v>
      </c>
      <c r="I21" s="379">
        <v>4</v>
      </c>
      <c r="J21" s="379">
        <v>4</v>
      </c>
    </row>
    <row r="22" spans="1:10" ht="24.75" x14ac:dyDescent="0.45">
      <c r="A22" s="150"/>
      <c r="B22" s="377" t="s">
        <v>693</v>
      </c>
      <c r="C22" s="381">
        <f>(C5+C6+C7+C8+C9+C10+C12+C13+C14+C16+C18+C20+C21)/13</f>
        <v>4.3876923076923076</v>
      </c>
      <c r="D22" s="382">
        <f>(D5+D6+D7+D8+D9+D10+D12+D13+D14+D16+D18+D20+D21)/13</f>
        <v>4.180769230769231</v>
      </c>
      <c r="E22" s="382">
        <f>(E5+E6+E7+E8+E9+E10+E12+E13+E14+E16+E18+E20+E21)/13</f>
        <v>4.3892307692307693</v>
      </c>
      <c r="F22" s="382">
        <f t="shared" ref="F22:I22" si="8">(F5+F6+F7+F8+F9+F10+F12+F13+F14+F16+F18+F20+F21)/13</f>
        <v>4.1923076923076925</v>
      </c>
      <c r="G22" s="382">
        <f t="shared" si="8"/>
        <v>3.9553846153846157</v>
      </c>
      <c r="H22" s="382">
        <f t="shared" si="8"/>
        <v>4.4476923076923081</v>
      </c>
      <c r="I22" s="381">
        <f t="shared" si="8"/>
        <v>4.3861538461538458</v>
      </c>
      <c r="J22" s="381">
        <f t="shared" ref="J22" si="9">(J5+J6+J7+J8+J9+J10+J12+J13+J14+J16+J18+J20+J21)/13</f>
        <v>4.3861538461538458</v>
      </c>
    </row>
    <row r="23" spans="1:10" ht="23.25" x14ac:dyDescent="0.35">
      <c r="B23" s="134"/>
      <c r="C23" s="134"/>
      <c r="D23" s="134"/>
      <c r="E23" s="134"/>
      <c r="F23" s="134"/>
      <c r="G23" s="134"/>
      <c r="H23" s="134"/>
      <c r="I23" s="134"/>
    </row>
  </sheetData>
  <mergeCells count="1">
    <mergeCell ref="B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I141"/>
  <sheetViews>
    <sheetView tabSelected="1" view="pageBreakPreview" topLeftCell="B1" zoomScale="130" zoomScaleNormal="85" zoomScaleSheetLayoutView="130" zoomScalePageLayoutView="40" workbookViewId="0">
      <selection activeCell="C144" sqref="C144"/>
    </sheetView>
  </sheetViews>
  <sheetFormatPr defaultColWidth="9.08984375" defaultRowHeight="23.25" x14ac:dyDescent="0.5"/>
  <cols>
    <col min="1" max="1" width="4.453125" style="52" hidden="1" customWidth="1"/>
    <col min="2" max="2" width="2.6328125" style="82" customWidth="1"/>
    <col min="3" max="3" width="35.08984375" style="52" bestFit="1" customWidth="1"/>
    <col min="4" max="4" width="12.08984375" style="52" customWidth="1"/>
    <col min="5" max="5" width="7.6328125" style="52" bestFit="1" customWidth="1"/>
    <col min="6" max="6" width="14.6328125" style="52" customWidth="1"/>
    <col min="7" max="16384" width="9.08984375" style="52"/>
  </cols>
  <sheetData>
    <row r="1" spans="1:9" ht="42" customHeight="1" x14ac:dyDescent="0.5">
      <c r="A1" s="50"/>
      <c r="B1" s="51"/>
      <c r="C1" s="613" t="s">
        <v>61</v>
      </c>
      <c r="D1" s="613"/>
      <c r="E1" s="613"/>
      <c r="F1" s="613"/>
    </row>
    <row r="2" spans="1:9" ht="24" thickBot="1" x14ac:dyDescent="0.55000000000000004">
      <c r="A2" s="50"/>
      <c r="B2" s="53"/>
      <c r="C2" s="614" t="s">
        <v>63</v>
      </c>
      <c r="D2" s="615"/>
      <c r="E2" s="615"/>
      <c r="F2" s="616"/>
    </row>
    <row r="3" spans="1:9" x14ac:dyDescent="0.5">
      <c r="A3" s="54"/>
      <c r="B3" s="55"/>
      <c r="C3" s="56" t="s">
        <v>62</v>
      </c>
      <c r="D3" s="57" t="s">
        <v>30</v>
      </c>
      <c r="E3" s="58">
        <v>3.51</v>
      </c>
      <c r="F3" s="599" t="s">
        <v>34</v>
      </c>
      <c r="H3" s="617" t="s">
        <v>58</v>
      </c>
      <c r="I3" s="618"/>
    </row>
    <row r="4" spans="1:9" ht="21" customHeight="1" thickBot="1" x14ac:dyDescent="0.55000000000000004">
      <c r="A4" s="59"/>
      <c r="B4" s="55"/>
      <c r="C4" s="602" t="s">
        <v>124</v>
      </c>
      <c r="D4" s="57" t="s">
        <v>31</v>
      </c>
      <c r="E4" s="42">
        <v>3.22</v>
      </c>
      <c r="F4" s="599"/>
      <c r="H4" s="619"/>
      <c r="I4" s="620"/>
    </row>
    <row r="5" spans="1:9" ht="21" customHeight="1" x14ac:dyDescent="0.5">
      <c r="A5" s="59"/>
      <c r="B5" s="55"/>
      <c r="C5" s="602"/>
      <c r="D5" s="57" t="s">
        <v>32</v>
      </c>
      <c r="E5" s="43">
        <f>IF(C4="","",IF(ISERROR(D8/D9),,D8/D9))</f>
        <v>3.2207692307692306</v>
      </c>
      <c r="F5" s="599"/>
      <c r="H5" s="617" t="s">
        <v>59</v>
      </c>
      <c r="I5" s="618"/>
    </row>
    <row r="6" spans="1:9" ht="24.6" customHeight="1" thickBot="1" x14ac:dyDescent="0.55000000000000004">
      <c r="A6" s="59"/>
      <c r="B6" s="55"/>
      <c r="C6" s="602"/>
      <c r="D6" s="400" t="s">
        <v>33</v>
      </c>
      <c r="E6" s="44" t="str">
        <f>IF(OR(E3="",E4=""),"",IF(E3&lt;=E4,"บรรลุ","ไม่บรรลุ"))</f>
        <v>ไม่บรรลุ</v>
      </c>
      <c r="F6" s="599"/>
      <c r="H6" s="619"/>
      <c r="I6" s="620"/>
    </row>
    <row r="7" spans="1:9" ht="21" customHeight="1" x14ac:dyDescent="0.5">
      <c r="A7" s="59"/>
      <c r="B7" s="60"/>
      <c r="C7" s="61" t="s">
        <v>49</v>
      </c>
      <c r="D7" s="61"/>
      <c r="E7" s="61"/>
      <c r="F7" s="62"/>
    </row>
    <row r="8" spans="1:9" x14ac:dyDescent="0.5">
      <c r="A8" s="59"/>
      <c r="B8" s="63"/>
      <c r="C8" s="48" t="s">
        <v>64</v>
      </c>
      <c r="D8" s="148">
        <v>209.35</v>
      </c>
      <c r="E8" s="49"/>
      <c r="F8" s="62"/>
    </row>
    <row r="9" spans="1:9" x14ac:dyDescent="0.5">
      <c r="A9" s="59"/>
      <c r="B9" s="63"/>
      <c r="C9" s="48" t="s">
        <v>65</v>
      </c>
      <c r="D9" s="148">
        <v>65</v>
      </c>
      <c r="E9" s="49" t="s">
        <v>67</v>
      </c>
      <c r="F9" s="62"/>
    </row>
    <row r="10" spans="1:9" x14ac:dyDescent="0.5">
      <c r="A10" s="59"/>
      <c r="B10" s="63"/>
      <c r="C10" s="64" t="s">
        <v>66</v>
      </c>
      <c r="D10" s="65">
        <f>IF(C4="","",IF(ISERROR(D8/D9),,D8/D9))</f>
        <v>3.2207692307692306</v>
      </c>
      <c r="E10" s="66" t="s">
        <v>4</v>
      </c>
      <c r="F10" s="67"/>
    </row>
    <row r="11" spans="1:9" x14ac:dyDescent="0.5">
      <c r="A11" s="68"/>
      <c r="B11" s="69"/>
      <c r="C11" s="601" t="str">
        <f>C2</f>
        <v>องค์ประกอบที่ 1 การผลิตบัณฑิต</v>
      </c>
      <c r="D11" s="601"/>
      <c r="E11" s="601"/>
      <c r="F11" s="601"/>
    </row>
    <row r="12" spans="1:9" x14ac:dyDescent="0.5">
      <c r="A12" s="70"/>
      <c r="B12" s="71"/>
      <c r="C12" s="56" t="s">
        <v>70</v>
      </c>
      <c r="D12" s="57" t="s">
        <v>30</v>
      </c>
      <c r="E12" s="72">
        <v>28.1</v>
      </c>
      <c r="F12" s="599" t="s">
        <v>34</v>
      </c>
    </row>
    <row r="13" spans="1:9" ht="21" customHeight="1" x14ac:dyDescent="0.5">
      <c r="A13" s="73"/>
      <c r="B13" s="63"/>
      <c r="C13" s="602" t="s">
        <v>124</v>
      </c>
      <c r="D13" s="57" t="s">
        <v>31</v>
      </c>
      <c r="E13" s="74">
        <f>IF(C13="","",IF(ISERROR(D17/D18*100),,D17/D18*100))</f>
        <v>27.570621468926554</v>
      </c>
      <c r="F13" s="599"/>
    </row>
    <row r="14" spans="1:9" ht="21" customHeight="1" x14ac:dyDescent="0.5">
      <c r="A14" s="73"/>
      <c r="B14" s="63"/>
      <c r="C14" s="602"/>
      <c r="D14" s="57" t="s">
        <v>32</v>
      </c>
      <c r="E14" s="43">
        <f>IF(E13="","",IF(ISERROR(E13*5/40),,IF(E13*5/40&gt;5,5,E13*5/40)))</f>
        <v>3.4463276836158192</v>
      </c>
      <c r="F14" s="599"/>
    </row>
    <row r="15" spans="1:9" x14ac:dyDescent="0.5">
      <c r="A15" s="73"/>
      <c r="B15" s="63"/>
      <c r="C15" s="602"/>
      <c r="D15" s="57" t="s">
        <v>33</v>
      </c>
      <c r="E15" s="44" t="str">
        <f>IF(OR(E12="",E13=""),"",IF(E12&lt;=E13,"บรรลุ","ไม่บรรลุ"))</f>
        <v>ไม่บรรลุ</v>
      </c>
      <c r="F15" s="599"/>
    </row>
    <row r="16" spans="1:9" x14ac:dyDescent="0.5">
      <c r="A16" s="73"/>
      <c r="B16" s="63"/>
      <c r="C16" s="610" t="s">
        <v>49</v>
      </c>
      <c r="D16" s="611"/>
      <c r="E16" s="612"/>
      <c r="F16" s="45"/>
    </row>
    <row r="17" spans="1:6" x14ac:dyDescent="0.5">
      <c r="A17" s="73"/>
      <c r="B17" s="63"/>
      <c r="C17" s="48" t="s">
        <v>700</v>
      </c>
      <c r="D17" s="148">
        <v>122</v>
      </c>
      <c r="E17" s="49" t="s">
        <v>68</v>
      </c>
      <c r="F17" s="45"/>
    </row>
    <row r="18" spans="1:6" x14ac:dyDescent="0.5">
      <c r="A18" s="73"/>
      <c r="B18" s="63"/>
      <c r="C18" s="48" t="s">
        <v>701</v>
      </c>
      <c r="D18" s="148">
        <v>442.5</v>
      </c>
      <c r="E18" s="49" t="s">
        <v>68</v>
      </c>
      <c r="F18" s="45"/>
    </row>
    <row r="19" spans="1:6" x14ac:dyDescent="0.5">
      <c r="A19" s="73"/>
      <c r="B19" s="63"/>
      <c r="C19" s="64" t="s">
        <v>69</v>
      </c>
      <c r="D19" s="65">
        <f>IF(C13="","",IF(ISERROR(D18/D17*100),,D18/D17*100))</f>
        <v>362.70491803278691</v>
      </c>
      <c r="E19" s="66" t="s">
        <v>50</v>
      </c>
      <c r="F19" s="75"/>
    </row>
    <row r="20" spans="1:6" x14ac:dyDescent="0.5">
      <c r="A20" s="68"/>
      <c r="B20" s="69"/>
      <c r="C20" s="601" t="str">
        <f>C2</f>
        <v>องค์ประกอบที่ 1 การผลิตบัณฑิต</v>
      </c>
      <c r="D20" s="601"/>
      <c r="E20" s="601"/>
      <c r="F20" s="601"/>
    </row>
    <row r="21" spans="1:6" x14ac:dyDescent="0.5">
      <c r="A21" s="70"/>
      <c r="B21" s="71"/>
      <c r="C21" s="56" t="s">
        <v>72</v>
      </c>
      <c r="D21" s="57" t="s">
        <v>30</v>
      </c>
      <c r="E21" s="72">
        <v>42.15</v>
      </c>
      <c r="F21" s="599" t="s">
        <v>34</v>
      </c>
    </row>
    <row r="22" spans="1:6" ht="21" customHeight="1" x14ac:dyDescent="0.5">
      <c r="A22" s="73"/>
      <c r="B22" s="63"/>
      <c r="C22" s="602" t="s">
        <v>124</v>
      </c>
      <c r="D22" s="57" t="s">
        <v>31</v>
      </c>
      <c r="E22" s="74">
        <f>IF(C22="","",IF(ISERROR(D26/D27*100),,D26/D27*100))</f>
        <v>22.937853107344633</v>
      </c>
      <c r="F22" s="599"/>
    </row>
    <row r="23" spans="1:6" ht="21" customHeight="1" x14ac:dyDescent="0.5">
      <c r="A23" s="73"/>
      <c r="B23" s="63"/>
      <c r="C23" s="602"/>
      <c r="D23" s="57" t="s">
        <v>32</v>
      </c>
      <c r="E23" s="43">
        <f>IF(E22="","",IF(ISERROR(E22*5/60),,IF(E22*5/60&gt;5,5,E22*5/60)))</f>
        <v>1.9114877589453863</v>
      </c>
      <c r="F23" s="599"/>
    </row>
    <row r="24" spans="1:6" x14ac:dyDescent="0.5">
      <c r="A24" s="73"/>
      <c r="B24" s="63"/>
      <c r="C24" s="602"/>
      <c r="D24" s="57" t="s">
        <v>33</v>
      </c>
      <c r="E24" s="44" t="str">
        <f>IF(OR(E21="",E22=""),"",IF(E21&lt;=E22,"บรรลุ","ไม่บรรลุ"))</f>
        <v>ไม่บรรลุ</v>
      </c>
      <c r="F24" s="599"/>
    </row>
    <row r="25" spans="1:6" ht="21" customHeight="1" x14ac:dyDescent="0.5">
      <c r="A25" s="73"/>
      <c r="B25" s="60"/>
      <c r="C25" s="610" t="s">
        <v>49</v>
      </c>
      <c r="D25" s="611"/>
      <c r="E25" s="612"/>
      <c r="F25" s="62"/>
    </row>
    <row r="26" spans="1:6" x14ac:dyDescent="0.5">
      <c r="A26" s="73"/>
      <c r="B26" s="63"/>
      <c r="C26" s="48" t="s">
        <v>702</v>
      </c>
      <c r="D26" s="148">
        <v>101.5</v>
      </c>
      <c r="E26" s="49" t="s">
        <v>68</v>
      </c>
      <c r="F26" s="62"/>
    </row>
    <row r="27" spans="1:6" x14ac:dyDescent="0.5">
      <c r="A27" s="73"/>
      <c r="B27" s="63"/>
      <c r="C27" s="48" t="s">
        <v>701</v>
      </c>
      <c r="D27" s="148">
        <v>442.5</v>
      </c>
      <c r="E27" s="49" t="s">
        <v>68</v>
      </c>
      <c r="F27" s="62"/>
    </row>
    <row r="28" spans="1:6" x14ac:dyDescent="0.5">
      <c r="A28" s="73"/>
      <c r="B28" s="63"/>
      <c r="C28" s="64" t="s">
        <v>71</v>
      </c>
      <c r="D28" s="65">
        <f>IF(C22="","",IF(ISERROR(D27/D26*100),,D27/D26*100))</f>
        <v>435.96059113300487</v>
      </c>
      <c r="E28" s="66" t="s">
        <v>50</v>
      </c>
      <c r="F28" s="67"/>
    </row>
    <row r="29" spans="1:6" x14ac:dyDescent="0.5">
      <c r="A29" s="50"/>
      <c r="B29" s="69"/>
      <c r="C29" s="601"/>
      <c r="D29" s="601"/>
      <c r="E29" s="601"/>
      <c r="F29" s="601"/>
    </row>
    <row r="30" spans="1:6" x14ac:dyDescent="0.5">
      <c r="A30" s="54"/>
      <c r="B30" s="71"/>
      <c r="C30" s="56" t="s">
        <v>73</v>
      </c>
      <c r="D30" s="57" t="s">
        <v>30</v>
      </c>
      <c r="E30" s="76">
        <v>6</v>
      </c>
      <c r="F30" s="599" t="s">
        <v>34</v>
      </c>
    </row>
    <row r="31" spans="1:6" ht="21" customHeight="1" x14ac:dyDescent="0.5">
      <c r="A31" s="59"/>
      <c r="B31" s="63"/>
      <c r="C31" s="602" t="s">
        <v>124</v>
      </c>
      <c r="D31" s="57" t="s">
        <v>31</v>
      </c>
      <c r="E31" s="77">
        <f>IF(COUNTIFS(A34:A39," flas")=6,"",COUNTIF(A34:A39,"true"))</f>
        <v>6</v>
      </c>
      <c r="F31" s="599"/>
    </row>
    <row r="32" spans="1:6" ht="21" customHeight="1" x14ac:dyDescent="0.5">
      <c r="A32" s="59"/>
      <c r="B32" s="63"/>
      <c r="C32" s="602"/>
      <c r="D32" s="57" t="s">
        <v>32</v>
      </c>
      <c r="E32" s="43">
        <f>IF(E31="","",IF(E31=1,1,IF(E31=2,2,IF(OR(E31=3,E31=4),3,IF(E31=5,4,IF(OR(E31=6,E31=6),5,0))))))</f>
        <v>5</v>
      </c>
      <c r="F32" s="599"/>
    </row>
    <row r="33" spans="1:6" x14ac:dyDescent="0.5">
      <c r="A33" s="59"/>
      <c r="B33" s="63"/>
      <c r="C33" s="602"/>
      <c r="D33" s="57" t="s">
        <v>33</v>
      </c>
      <c r="E33" s="44" t="str">
        <f>IF(OR(E30="",E31=""),"",IF(E30&lt;=E31,"บรรลุ","ไม่บรรลุ"))</f>
        <v>บรรลุ</v>
      </c>
      <c r="F33" s="599"/>
    </row>
    <row r="34" spans="1:6" s="9" customFormat="1" x14ac:dyDescent="0.5">
      <c r="A34" s="123" t="b">
        <v>1</v>
      </c>
      <c r="B34" s="124"/>
      <c r="C34" s="597" t="s">
        <v>35</v>
      </c>
      <c r="D34" s="597"/>
      <c r="E34" s="597"/>
      <c r="F34" s="125"/>
    </row>
    <row r="35" spans="1:6" s="9" customFormat="1" ht="45" customHeight="1" x14ac:dyDescent="0.5">
      <c r="A35" s="123" t="b">
        <v>1</v>
      </c>
      <c r="B35" s="124"/>
      <c r="C35" s="597" t="s">
        <v>39</v>
      </c>
      <c r="D35" s="597"/>
      <c r="E35" s="597"/>
      <c r="F35" s="125"/>
    </row>
    <row r="36" spans="1:6" s="9" customFormat="1" x14ac:dyDescent="0.5">
      <c r="A36" s="123" t="b">
        <v>1</v>
      </c>
      <c r="B36" s="124"/>
      <c r="C36" s="598" t="s">
        <v>36</v>
      </c>
      <c r="D36" s="598"/>
      <c r="E36" s="598"/>
      <c r="F36" s="125"/>
    </row>
    <row r="37" spans="1:6" s="9" customFormat="1" x14ac:dyDescent="0.5">
      <c r="A37" s="123" t="b">
        <v>1</v>
      </c>
      <c r="B37" s="124"/>
      <c r="C37" s="597" t="s">
        <v>37</v>
      </c>
      <c r="D37" s="597"/>
      <c r="E37" s="597"/>
      <c r="F37" s="125"/>
    </row>
    <row r="38" spans="1:6" s="9" customFormat="1" ht="44.45" customHeight="1" x14ac:dyDescent="0.5">
      <c r="A38" s="123" t="b">
        <v>1</v>
      </c>
      <c r="B38" s="124"/>
      <c r="C38" s="597" t="s">
        <v>40</v>
      </c>
      <c r="D38" s="597"/>
      <c r="E38" s="597"/>
      <c r="F38" s="125"/>
    </row>
    <row r="39" spans="1:6" s="9" customFormat="1" x14ac:dyDescent="0.5">
      <c r="A39" s="123" t="b">
        <v>1</v>
      </c>
      <c r="B39" s="124"/>
      <c r="C39" s="597" t="s">
        <v>38</v>
      </c>
      <c r="D39" s="597"/>
      <c r="E39" s="597"/>
      <c r="F39" s="125"/>
    </row>
    <row r="40" spans="1:6" x14ac:dyDescent="0.5">
      <c r="A40" s="78"/>
      <c r="B40" s="63"/>
      <c r="C40" s="79"/>
      <c r="D40" s="80"/>
      <c r="E40" s="80"/>
      <c r="F40" s="81"/>
    </row>
    <row r="41" spans="1:6" x14ac:dyDescent="0.5">
      <c r="A41" s="50"/>
      <c r="B41" s="53"/>
      <c r="C41" s="614" t="s">
        <v>63</v>
      </c>
      <c r="D41" s="615"/>
      <c r="E41" s="615"/>
      <c r="F41" s="616"/>
    </row>
    <row r="42" spans="1:6" x14ac:dyDescent="0.5">
      <c r="A42" s="54"/>
      <c r="B42" s="71"/>
      <c r="C42" s="56" t="s">
        <v>74</v>
      </c>
      <c r="D42" s="57" t="s">
        <v>30</v>
      </c>
      <c r="E42" s="76">
        <v>6</v>
      </c>
      <c r="F42" s="599" t="s">
        <v>34</v>
      </c>
    </row>
    <row r="43" spans="1:6" ht="21" customHeight="1" x14ac:dyDescent="0.5">
      <c r="A43" s="59"/>
      <c r="B43" s="63"/>
      <c r="C43" s="600" t="s">
        <v>124</v>
      </c>
      <c r="D43" s="57" t="s">
        <v>31</v>
      </c>
      <c r="E43" s="77">
        <f>IF(COUNTIFS(A46:A51," flas")=6,"",COUNTIF(A46:A51,"true"))</f>
        <v>6</v>
      </c>
      <c r="F43" s="599"/>
    </row>
    <row r="44" spans="1:6" ht="21" customHeight="1" x14ac:dyDescent="0.5">
      <c r="A44" s="59"/>
      <c r="B44" s="63"/>
      <c r="C44" s="600"/>
      <c r="D44" s="57" t="s">
        <v>32</v>
      </c>
      <c r="E44" s="43">
        <f>IF(E43="","",IF(E43=1,1,IF(E43=2,2,IF(OR(E43=3,E43=4),3,IF(E43=5,4,IF(OR(E43=6,E43=6),5,0))))))</f>
        <v>5</v>
      </c>
      <c r="F44" s="599"/>
    </row>
    <row r="45" spans="1:6" x14ac:dyDescent="0.5">
      <c r="A45" s="59"/>
      <c r="B45" s="63"/>
      <c r="C45" s="600"/>
      <c r="D45" s="57" t="s">
        <v>33</v>
      </c>
      <c r="E45" s="44" t="str">
        <f>IF(OR(E42="",E43=""),"",IF(E42&lt;=E43,"บรรลุ","ไม่บรรลุ"))</f>
        <v>บรรลุ</v>
      </c>
      <c r="F45" s="599"/>
    </row>
    <row r="46" spans="1:6" s="9" customFormat="1" x14ac:dyDescent="0.5">
      <c r="A46" s="123" t="b">
        <v>1</v>
      </c>
      <c r="B46" s="124"/>
      <c r="C46" s="597" t="s">
        <v>53</v>
      </c>
      <c r="D46" s="597"/>
      <c r="E46" s="597"/>
      <c r="F46" s="125"/>
    </row>
    <row r="47" spans="1:6" s="9" customFormat="1" ht="131.44999999999999" customHeight="1" x14ac:dyDescent="0.5">
      <c r="A47" s="123" t="b">
        <v>1</v>
      </c>
      <c r="B47" s="124"/>
      <c r="C47" s="597" t="s">
        <v>112</v>
      </c>
      <c r="D47" s="597"/>
      <c r="E47" s="597"/>
      <c r="F47" s="125"/>
    </row>
    <row r="48" spans="1:6" s="9" customFormat="1" x14ac:dyDescent="0.5">
      <c r="A48" s="123" t="b">
        <v>1</v>
      </c>
      <c r="B48" s="124"/>
      <c r="C48" s="598" t="s">
        <v>52</v>
      </c>
      <c r="D48" s="598"/>
      <c r="E48" s="598"/>
      <c r="F48" s="125"/>
    </row>
    <row r="49" spans="1:6" s="9" customFormat="1" x14ac:dyDescent="0.5">
      <c r="A49" s="123" t="b">
        <v>1</v>
      </c>
      <c r="B49" s="124"/>
      <c r="C49" s="597" t="s">
        <v>41</v>
      </c>
      <c r="D49" s="597"/>
      <c r="E49" s="597"/>
      <c r="F49" s="125"/>
    </row>
    <row r="50" spans="1:6" s="9" customFormat="1" x14ac:dyDescent="0.5">
      <c r="A50" s="123" t="b">
        <v>1</v>
      </c>
      <c r="B50" s="124"/>
      <c r="C50" s="597" t="s">
        <v>51</v>
      </c>
      <c r="D50" s="597"/>
      <c r="E50" s="597"/>
      <c r="F50" s="125"/>
    </row>
    <row r="51" spans="1:6" s="9" customFormat="1" x14ac:dyDescent="0.5">
      <c r="A51" s="123" t="b">
        <v>1</v>
      </c>
      <c r="B51" s="124"/>
      <c r="C51" s="597" t="s">
        <v>54</v>
      </c>
      <c r="D51" s="597"/>
      <c r="E51" s="597"/>
      <c r="F51" s="125"/>
    </row>
    <row r="52" spans="1:6" ht="24" thickBot="1" x14ac:dyDescent="0.55000000000000004"/>
    <row r="53" spans="1:6" ht="24" thickBot="1" x14ac:dyDescent="0.55000000000000004">
      <c r="A53" s="50"/>
      <c r="B53" s="69"/>
      <c r="C53" s="604" t="s">
        <v>75</v>
      </c>
      <c r="D53" s="605"/>
      <c r="E53" s="605"/>
      <c r="F53" s="606"/>
    </row>
    <row r="54" spans="1:6" ht="46.5" x14ac:dyDescent="0.5">
      <c r="A54" s="54"/>
      <c r="B54" s="71"/>
      <c r="C54" s="39" t="s">
        <v>76</v>
      </c>
      <c r="D54" s="57" t="s">
        <v>30</v>
      </c>
      <c r="E54" s="76">
        <v>6</v>
      </c>
      <c r="F54" s="599" t="s">
        <v>34</v>
      </c>
    </row>
    <row r="55" spans="1:6" ht="21" customHeight="1" x14ac:dyDescent="0.5">
      <c r="A55" s="59"/>
      <c r="B55" s="63"/>
      <c r="C55" s="600" t="s">
        <v>124</v>
      </c>
      <c r="D55" s="57" t="s">
        <v>31</v>
      </c>
      <c r="E55" s="77">
        <f>IF(COUNTIFS(A58:A63," flas")=6,"",COUNTIF(A58:A63,"true"))</f>
        <v>6</v>
      </c>
      <c r="F55" s="599"/>
    </row>
    <row r="56" spans="1:6" ht="21" customHeight="1" x14ac:dyDescent="0.5">
      <c r="A56" s="59"/>
      <c r="B56" s="63"/>
      <c r="C56" s="600"/>
      <c r="D56" s="57" t="s">
        <v>32</v>
      </c>
      <c r="E56" s="43">
        <f>IF(E55="","",IF(E55=1,1,IF(E55=2,2,IF(OR(E55=3,E55=4),3,IF(E55=5,4,IF(OR(E55=6,E55=6),5,0))))))</f>
        <v>5</v>
      </c>
      <c r="F56" s="599"/>
    </row>
    <row r="57" spans="1:6" x14ac:dyDescent="0.5">
      <c r="A57" s="59"/>
      <c r="B57" s="63"/>
      <c r="C57" s="600"/>
      <c r="D57" s="41" t="s">
        <v>33</v>
      </c>
      <c r="E57" s="44" t="str">
        <f>IF(OR(E54="",E55=""),"",IF(E54&lt;=E55,"บรรลุ","ไม่บรรลุ"))</f>
        <v>บรรลุ</v>
      </c>
      <c r="F57" s="599"/>
    </row>
    <row r="58" spans="1:6" s="9" customFormat="1" ht="49.15" customHeight="1" x14ac:dyDescent="0.5">
      <c r="A58" s="123" t="b">
        <v>1</v>
      </c>
      <c r="B58" s="124"/>
      <c r="C58" s="597" t="s">
        <v>79</v>
      </c>
      <c r="D58" s="597"/>
      <c r="E58" s="597"/>
      <c r="F58" s="125"/>
    </row>
    <row r="59" spans="1:6" s="9" customFormat="1" ht="157.9" customHeight="1" x14ac:dyDescent="0.5">
      <c r="A59" s="123" t="b">
        <v>1</v>
      </c>
      <c r="B59" s="124"/>
      <c r="C59" s="597" t="s">
        <v>80</v>
      </c>
      <c r="D59" s="597"/>
      <c r="E59" s="597"/>
      <c r="F59" s="125"/>
    </row>
    <row r="60" spans="1:6" s="9" customFormat="1" x14ac:dyDescent="0.5">
      <c r="A60" s="123" t="b">
        <v>1</v>
      </c>
      <c r="B60" s="124"/>
      <c r="C60" s="598" t="s">
        <v>81</v>
      </c>
      <c r="D60" s="598"/>
      <c r="E60" s="598"/>
      <c r="F60" s="125"/>
    </row>
    <row r="61" spans="1:6" s="9" customFormat="1" ht="61.9" customHeight="1" x14ac:dyDescent="0.5">
      <c r="A61" s="123" t="b">
        <v>1</v>
      </c>
      <c r="B61" s="124"/>
      <c r="C61" s="597" t="s">
        <v>82</v>
      </c>
      <c r="D61" s="597"/>
      <c r="E61" s="597"/>
      <c r="F61" s="125"/>
    </row>
    <row r="62" spans="1:6" s="9" customFormat="1" ht="43.9" customHeight="1" x14ac:dyDescent="0.5">
      <c r="A62" s="123" t="b">
        <v>1</v>
      </c>
      <c r="B62" s="124"/>
      <c r="C62" s="597" t="s">
        <v>83</v>
      </c>
      <c r="D62" s="597"/>
      <c r="E62" s="597"/>
      <c r="F62" s="125"/>
    </row>
    <row r="63" spans="1:6" s="9" customFormat="1" ht="43.15" customHeight="1" x14ac:dyDescent="0.5">
      <c r="A63" s="123" t="b">
        <v>1</v>
      </c>
      <c r="B63" s="124"/>
      <c r="C63" s="597" t="s">
        <v>84</v>
      </c>
      <c r="D63" s="597"/>
      <c r="E63" s="597"/>
      <c r="F63" s="125"/>
    </row>
    <row r="64" spans="1:6" x14ac:dyDescent="0.5">
      <c r="A64" s="78"/>
      <c r="B64" s="63"/>
      <c r="C64" s="83"/>
      <c r="D64" s="83"/>
      <c r="E64" s="83"/>
      <c r="F64" s="82"/>
    </row>
    <row r="65" spans="1:6" x14ac:dyDescent="0.5">
      <c r="A65" s="68"/>
      <c r="B65" s="69"/>
      <c r="C65" s="601" t="s">
        <v>75</v>
      </c>
      <c r="D65" s="601"/>
      <c r="E65" s="601"/>
      <c r="F65" s="601"/>
    </row>
    <row r="66" spans="1:6" x14ac:dyDescent="0.5">
      <c r="A66" s="70"/>
      <c r="B66" s="71"/>
      <c r="C66" s="39" t="s">
        <v>77</v>
      </c>
      <c r="D66" s="126" t="s">
        <v>30</v>
      </c>
      <c r="E66" s="40">
        <v>4.51</v>
      </c>
      <c r="F66" s="609" t="s">
        <v>34</v>
      </c>
    </row>
    <row r="67" spans="1:6" ht="21" customHeight="1" x14ac:dyDescent="0.5">
      <c r="A67" s="73"/>
      <c r="B67" s="63"/>
      <c r="C67" s="600" t="s">
        <v>124</v>
      </c>
      <c r="D67" s="57" t="s">
        <v>31</v>
      </c>
      <c r="E67" s="42">
        <f>IF(C67="","",IF(ISERROR(D71/D72),,D71/D72))</f>
        <v>5</v>
      </c>
      <c r="F67" s="599"/>
    </row>
    <row r="68" spans="1:6" ht="21" customHeight="1" x14ac:dyDescent="0.5">
      <c r="A68" s="73"/>
      <c r="B68" s="63"/>
      <c r="C68" s="600"/>
      <c r="D68" s="57" t="s">
        <v>32</v>
      </c>
      <c r="E68" s="43">
        <f>IF(C67="","",IF(ISERROR(D71/D72),,D71/D72))</f>
        <v>5</v>
      </c>
      <c r="F68" s="599"/>
    </row>
    <row r="69" spans="1:6" x14ac:dyDescent="0.5">
      <c r="A69" s="73"/>
      <c r="B69" s="63"/>
      <c r="C69" s="600"/>
      <c r="D69" s="57" t="s">
        <v>33</v>
      </c>
      <c r="E69" s="44" t="str">
        <f>IF(OR(E66="",E67=""),"",IF(E66&lt;=E67,"บรรลุ","ไม่บรรลุ"))</f>
        <v>บรรลุ</v>
      </c>
      <c r="F69" s="599"/>
    </row>
    <row r="70" spans="1:6" x14ac:dyDescent="0.5">
      <c r="A70" s="73"/>
      <c r="B70" s="63"/>
      <c r="C70" s="610" t="s">
        <v>49</v>
      </c>
      <c r="D70" s="611"/>
      <c r="E70" s="612"/>
      <c r="F70" s="45"/>
    </row>
    <row r="71" spans="1:6" ht="46.5" x14ac:dyDescent="0.5">
      <c r="A71" s="73"/>
      <c r="B71" s="63"/>
      <c r="C71" s="46" t="s">
        <v>114</v>
      </c>
      <c r="D71" s="127">
        <v>45</v>
      </c>
      <c r="E71" s="47"/>
      <c r="F71" s="45"/>
    </row>
    <row r="72" spans="1:6" x14ac:dyDescent="0.5">
      <c r="A72" s="73"/>
      <c r="B72" s="63"/>
      <c r="C72" s="48" t="s">
        <v>113</v>
      </c>
      <c r="D72" s="128">
        <v>9</v>
      </c>
      <c r="E72" s="49" t="s">
        <v>126</v>
      </c>
      <c r="F72" s="45" t="s">
        <v>679</v>
      </c>
    </row>
    <row r="73" spans="1:6" x14ac:dyDescent="0.5">
      <c r="A73" s="73"/>
      <c r="B73" s="63"/>
      <c r="C73" s="608"/>
      <c r="D73" s="608"/>
      <c r="E73" s="608"/>
      <c r="F73" s="45"/>
    </row>
    <row r="74" spans="1:6" ht="24" thickBot="1" x14ac:dyDescent="0.55000000000000004">
      <c r="A74" s="84"/>
    </row>
    <row r="75" spans="1:6" ht="24" thickBot="1" x14ac:dyDescent="0.55000000000000004">
      <c r="A75" s="84"/>
      <c r="C75" s="604" t="str">
        <f>C65</f>
        <v>องค์ประกอบที่ 2 การวิจัย</v>
      </c>
      <c r="D75" s="605"/>
      <c r="E75" s="605"/>
      <c r="F75" s="606"/>
    </row>
    <row r="76" spans="1:6" x14ac:dyDescent="0.5">
      <c r="A76" s="84"/>
      <c r="C76" s="39" t="s">
        <v>78</v>
      </c>
      <c r="D76" s="126" t="s">
        <v>30</v>
      </c>
      <c r="E76" s="40">
        <v>4.6500000000000004</v>
      </c>
      <c r="F76" s="609" t="s">
        <v>34</v>
      </c>
    </row>
    <row r="77" spans="1:6" ht="21" customHeight="1" x14ac:dyDescent="0.5">
      <c r="A77" s="84"/>
      <c r="C77" s="600" t="s">
        <v>124</v>
      </c>
      <c r="D77" s="57" t="s">
        <v>31</v>
      </c>
      <c r="E77" s="42">
        <f>IF(C77="","",IF(ISERROR(D81/D82),,D81/D82))</f>
        <v>4.8144444444444439</v>
      </c>
      <c r="F77" s="599"/>
    </row>
    <row r="78" spans="1:6" x14ac:dyDescent="0.5">
      <c r="A78" s="84"/>
      <c r="C78" s="600"/>
      <c r="D78" s="57" t="s">
        <v>32</v>
      </c>
      <c r="E78" s="43">
        <f>IF(C77="","",IF(ISERROR(D81/D82),,D81/D82))</f>
        <v>4.8144444444444439</v>
      </c>
      <c r="F78" s="599"/>
    </row>
    <row r="79" spans="1:6" x14ac:dyDescent="0.5">
      <c r="A79" s="84"/>
      <c r="C79" s="600"/>
      <c r="D79" s="57" t="s">
        <v>33</v>
      </c>
      <c r="E79" s="44" t="str">
        <f>IF(OR(E76="",E77=""),"",IF(E76&lt;=E77,"บรรลุ","ไม่บรรลุ"))</f>
        <v>บรรลุ</v>
      </c>
      <c r="F79" s="599"/>
    </row>
    <row r="80" spans="1:6" x14ac:dyDescent="0.5">
      <c r="A80" s="84"/>
      <c r="C80" s="610" t="s">
        <v>49</v>
      </c>
      <c r="D80" s="611"/>
      <c r="E80" s="612"/>
      <c r="F80" s="45"/>
    </row>
    <row r="81" spans="1:6" ht="46.5" x14ac:dyDescent="0.5">
      <c r="A81" s="84"/>
      <c r="C81" s="46" t="s">
        <v>115</v>
      </c>
      <c r="D81" s="127">
        <v>43.33</v>
      </c>
      <c r="E81" s="47"/>
      <c r="F81" s="45"/>
    </row>
    <row r="82" spans="1:6" x14ac:dyDescent="0.5">
      <c r="A82" s="84"/>
      <c r="C82" s="48" t="s">
        <v>116</v>
      </c>
      <c r="D82" s="128">
        <v>9</v>
      </c>
      <c r="E82" s="49" t="s">
        <v>6</v>
      </c>
      <c r="F82" s="45"/>
    </row>
    <row r="83" spans="1:6" x14ac:dyDescent="0.5">
      <c r="A83" s="84"/>
      <c r="C83" s="85"/>
      <c r="D83" s="86"/>
      <c r="E83" s="87"/>
      <c r="F83" s="88"/>
    </row>
    <row r="84" spans="1:6" x14ac:dyDescent="0.5">
      <c r="A84" s="50"/>
      <c r="B84" s="69"/>
      <c r="C84" s="601" t="s">
        <v>91</v>
      </c>
      <c r="D84" s="601"/>
      <c r="E84" s="601"/>
      <c r="F84" s="601"/>
    </row>
    <row r="85" spans="1:6" x14ac:dyDescent="0.5">
      <c r="A85" s="54"/>
      <c r="B85" s="71"/>
      <c r="C85" s="56" t="s">
        <v>92</v>
      </c>
      <c r="D85" s="57" t="s">
        <v>30</v>
      </c>
      <c r="E85" s="76">
        <v>6</v>
      </c>
      <c r="F85" s="599" t="s">
        <v>34</v>
      </c>
    </row>
    <row r="86" spans="1:6" ht="21" customHeight="1" x14ac:dyDescent="0.5">
      <c r="A86" s="59"/>
      <c r="B86" s="63"/>
      <c r="C86" s="600" t="s">
        <v>124</v>
      </c>
      <c r="D86" s="57" t="s">
        <v>31</v>
      </c>
      <c r="E86" s="77">
        <f>IF(COUNTIFS(A89:A94," flas")=6,"",COUNTIF(A89:A94,"true"))</f>
        <v>6</v>
      </c>
      <c r="F86" s="599"/>
    </row>
    <row r="87" spans="1:6" ht="21" customHeight="1" x14ac:dyDescent="0.5">
      <c r="A87" s="59"/>
      <c r="B87" s="63"/>
      <c r="C87" s="600"/>
      <c r="D87" s="57" t="s">
        <v>32</v>
      </c>
      <c r="E87" s="43">
        <f>IF(E86="","",IF(E86=1,1,IF(E86=2,2,IF(OR(E86=3,E86=4),3,IF(E86=5,4,IF(OR(E86=6,E86=6),5,0))))))</f>
        <v>5</v>
      </c>
      <c r="F87" s="599"/>
    </row>
    <row r="88" spans="1:6" x14ac:dyDescent="0.5">
      <c r="A88" s="59"/>
      <c r="B88" s="63"/>
      <c r="C88" s="600"/>
      <c r="D88" s="57" t="s">
        <v>33</v>
      </c>
      <c r="E88" s="44" t="str">
        <f>IF(OR(E85="",E86=""),"",IF(E85&lt;=E86,"บรรลุ","ไม่บรรลุ"))</f>
        <v>บรรลุ</v>
      </c>
      <c r="F88" s="599"/>
    </row>
    <row r="89" spans="1:6" s="9" customFormat="1" ht="44.45" customHeight="1" x14ac:dyDescent="0.5">
      <c r="A89" s="123" t="b">
        <v>1</v>
      </c>
      <c r="B89" s="124"/>
      <c r="C89" s="603" t="s">
        <v>85</v>
      </c>
      <c r="D89" s="603"/>
      <c r="E89" s="603"/>
      <c r="F89" s="125"/>
    </row>
    <row r="90" spans="1:6" s="9" customFormat="1" x14ac:dyDescent="0.5">
      <c r="A90" s="123" t="b">
        <v>1</v>
      </c>
      <c r="B90" s="124"/>
      <c r="C90" s="603" t="s">
        <v>86</v>
      </c>
      <c r="D90" s="603"/>
      <c r="E90" s="603"/>
      <c r="F90" s="125"/>
    </row>
    <row r="91" spans="1:6" s="9" customFormat="1" x14ac:dyDescent="0.5">
      <c r="A91" s="123" t="b">
        <v>1</v>
      </c>
      <c r="B91" s="124"/>
      <c r="C91" s="607" t="s">
        <v>87</v>
      </c>
      <c r="D91" s="607"/>
      <c r="E91" s="607"/>
      <c r="F91" s="125"/>
    </row>
    <row r="92" spans="1:6" s="9" customFormat="1" x14ac:dyDescent="0.5">
      <c r="A92" s="123" t="b">
        <v>1</v>
      </c>
      <c r="B92" s="124"/>
      <c r="C92" s="603" t="s">
        <v>88</v>
      </c>
      <c r="D92" s="603"/>
      <c r="E92" s="603"/>
      <c r="F92" s="125"/>
    </row>
    <row r="93" spans="1:6" s="9" customFormat="1" ht="37.9" customHeight="1" x14ac:dyDescent="0.5">
      <c r="A93" s="123" t="b">
        <v>1</v>
      </c>
      <c r="B93" s="124"/>
      <c r="C93" s="603" t="s">
        <v>89</v>
      </c>
      <c r="D93" s="603"/>
      <c r="E93" s="603"/>
      <c r="F93" s="125"/>
    </row>
    <row r="94" spans="1:6" s="9" customFormat="1" ht="61.15" customHeight="1" x14ac:dyDescent="0.5">
      <c r="A94" s="123" t="b">
        <v>1</v>
      </c>
      <c r="B94" s="124"/>
      <c r="C94" s="603" t="s">
        <v>90</v>
      </c>
      <c r="D94" s="603"/>
      <c r="E94" s="603"/>
      <c r="F94" s="125"/>
    </row>
    <row r="95" spans="1:6" x14ac:dyDescent="0.5">
      <c r="A95" s="78"/>
      <c r="B95" s="63"/>
      <c r="C95" s="89"/>
      <c r="D95" s="89"/>
      <c r="E95" s="89"/>
      <c r="F95" s="82"/>
    </row>
    <row r="96" spans="1:6" x14ac:dyDescent="0.5">
      <c r="A96" s="50"/>
      <c r="B96" s="69"/>
      <c r="C96" s="601" t="s">
        <v>117</v>
      </c>
      <c r="D96" s="601"/>
      <c r="E96" s="601"/>
      <c r="F96" s="601"/>
    </row>
    <row r="97" spans="1:6" x14ac:dyDescent="0.5">
      <c r="A97" s="54"/>
      <c r="B97" s="71"/>
      <c r="C97" s="56" t="s">
        <v>93</v>
      </c>
      <c r="D97" s="57" t="s">
        <v>30</v>
      </c>
      <c r="E97" s="76">
        <v>6</v>
      </c>
      <c r="F97" s="599" t="s">
        <v>34</v>
      </c>
    </row>
    <row r="98" spans="1:6" ht="21" customHeight="1" x14ac:dyDescent="0.5">
      <c r="A98" s="59"/>
      <c r="B98" s="63"/>
      <c r="C98" s="600" t="s">
        <v>124</v>
      </c>
      <c r="D98" s="57" t="s">
        <v>31</v>
      </c>
      <c r="E98" s="77">
        <f>IF(COUNTIFS(A101:A107," flas")=7,"",COUNTIF(A101:A107,"true"))</f>
        <v>6</v>
      </c>
      <c r="F98" s="599"/>
    </row>
    <row r="99" spans="1:6" ht="21" customHeight="1" x14ac:dyDescent="0.5">
      <c r="A99" s="59"/>
      <c r="B99" s="63"/>
      <c r="C99" s="600"/>
      <c r="D99" s="57" t="s">
        <v>32</v>
      </c>
      <c r="E99" s="43">
        <f>IF(E98="","",IF(E98=1,1,IF(E98=2,2,IF(OR(E98=3,E98=4),3,IF(E98=5,4,IF(OR(E98=6,E98=7),5,0))))))</f>
        <v>5</v>
      </c>
      <c r="F99" s="599"/>
    </row>
    <row r="100" spans="1:6" x14ac:dyDescent="0.5">
      <c r="A100" s="59"/>
      <c r="B100" s="63"/>
      <c r="C100" s="600"/>
      <c r="D100" s="57" t="s">
        <v>33</v>
      </c>
      <c r="E100" s="44" t="str">
        <f>IF(OR(E97="",E98=""),"",IF(E97&lt;=E98,"บรรลุ","ไม่บรรลุ"))</f>
        <v>บรรลุ</v>
      </c>
      <c r="F100" s="599"/>
    </row>
    <row r="101" spans="1:6" s="9" customFormat="1" x14ac:dyDescent="0.5">
      <c r="A101" s="123" t="b">
        <v>1</v>
      </c>
      <c r="B101" s="124"/>
      <c r="C101" s="597" t="s">
        <v>42</v>
      </c>
      <c r="D101" s="597"/>
      <c r="E101" s="597"/>
      <c r="F101" s="125"/>
    </row>
    <row r="102" spans="1:6" s="9" customFormat="1" ht="42.6" customHeight="1" x14ac:dyDescent="0.5">
      <c r="A102" s="123" t="b">
        <v>1</v>
      </c>
      <c r="B102" s="124"/>
      <c r="C102" s="597" t="s">
        <v>48</v>
      </c>
      <c r="D102" s="597"/>
      <c r="E102" s="597"/>
      <c r="F102" s="125"/>
    </row>
    <row r="103" spans="1:6" s="9" customFormat="1" x14ac:dyDescent="0.5">
      <c r="A103" s="123" t="b">
        <v>1</v>
      </c>
      <c r="B103" s="124"/>
      <c r="C103" s="598" t="s">
        <v>43</v>
      </c>
      <c r="D103" s="598"/>
      <c r="E103" s="598"/>
      <c r="F103" s="125"/>
    </row>
    <row r="104" spans="1:6" s="9" customFormat="1" ht="41.45" customHeight="1" x14ac:dyDescent="0.5">
      <c r="A104" s="123" t="b">
        <v>1</v>
      </c>
      <c r="B104" s="124"/>
      <c r="C104" s="597" t="s">
        <v>44</v>
      </c>
      <c r="D104" s="597"/>
      <c r="E104" s="597"/>
      <c r="F104" s="125"/>
    </row>
    <row r="105" spans="1:6" s="9" customFormat="1" x14ac:dyDescent="0.5">
      <c r="A105" s="123" t="b">
        <v>1</v>
      </c>
      <c r="B105" s="124"/>
      <c r="C105" s="597" t="s">
        <v>47</v>
      </c>
      <c r="D105" s="597"/>
      <c r="E105" s="597"/>
      <c r="F105" s="125"/>
    </row>
    <row r="106" spans="1:6" s="9" customFormat="1" x14ac:dyDescent="0.5">
      <c r="A106" s="123" t="b">
        <v>1</v>
      </c>
      <c r="B106" s="124"/>
      <c r="C106" s="597" t="s">
        <v>46</v>
      </c>
      <c r="D106" s="597"/>
      <c r="E106" s="597"/>
      <c r="F106" s="125"/>
    </row>
    <row r="107" spans="1:6" s="9" customFormat="1" x14ac:dyDescent="0.5">
      <c r="A107" s="123" t="b">
        <v>0</v>
      </c>
      <c r="B107" s="124"/>
      <c r="C107" s="597" t="s">
        <v>45</v>
      </c>
      <c r="D107" s="597"/>
      <c r="E107" s="597"/>
      <c r="F107" s="125"/>
    </row>
    <row r="109" spans="1:6" x14ac:dyDescent="0.5">
      <c r="A109" s="50"/>
      <c r="B109" s="69"/>
      <c r="C109" s="601" t="s">
        <v>94</v>
      </c>
      <c r="D109" s="601"/>
      <c r="E109" s="601"/>
      <c r="F109" s="601"/>
    </row>
    <row r="110" spans="1:6" ht="46.5" x14ac:dyDescent="0.5">
      <c r="A110" s="54"/>
      <c r="B110" s="71"/>
      <c r="C110" s="56" t="s">
        <v>95</v>
      </c>
      <c r="D110" s="57" t="s">
        <v>30</v>
      </c>
      <c r="E110" s="76">
        <v>7</v>
      </c>
      <c r="F110" s="599" t="s">
        <v>34</v>
      </c>
    </row>
    <row r="111" spans="1:6" ht="21" customHeight="1" x14ac:dyDescent="0.5">
      <c r="A111" s="59"/>
      <c r="B111" s="63"/>
      <c r="C111" s="600" t="s">
        <v>124</v>
      </c>
      <c r="D111" s="57" t="s">
        <v>31</v>
      </c>
      <c r="E111" s="77">
        <f>IF(COUNTIFS(A114:A120," flas")=7,"",COUNTIF(A114:A120,"true"))</f>
        <v>7</v>
      </c>
      <c r="F111" s="599"/>
    </row>
    <row r="112" spans="1:6" ht="21" customHeight="1" x14ac:dyDescent="0.5">
      <c r="A112" s="59"/>
      <c r="B112" s="63"/>
      <c r="C112" s="600"/>
      <c r="D112" s="57" t="s">
        <v>32</v>
      </c>
      <c r="E112" s="43">
        <f>IF(E111="","",IF(E111=1,1,IF(E111=2,2,IF(OR(E111=3,E111=4),3,IF(E111=5,4,IF(OR(E111=6,E111=7),5,0))))))</f>
        <v>5</v>
      </c>
      <c r="F112" s="599"/>
    </row>
    <row r="113" spans="1:6" x14ac:dyDescent="0.5">
      <c r="A113" s="59"/>
      <c r="B113" s="63"/>
      <c r="C113" s="600"/>
      <c r="D113" s="57" t="s">
        <v>33</v>
      </c>
      <c r="E113" s="44" t="str">
        <f>IF(OR(E110="",E111=""),"",IF(E110&lt;=E111,"บรรลุ","ไม่บรรลุ"))</f>
        <v>บรรลุ</v>
      </c>
      <c r="F113" s="599"/>
    </row>
    <row r="114" spans="1:6" s="9" customFormat="1" ht="67.900000000000006" customHeight="1" x14ac:dyDescent="0.5">
      <c r="A114" s="123" t="b">
        <v>1</v>
      </c>
      <c r="B114" s="124"/>
      <c r="C114" s="597" t="s">
        <v>96</v>
      </c>
      <c r="D114" s="597"/>
      <c r="E114" s="597"/>
      <c r="F114" s="125"/>
    </row>
    <row r="115" spans="1:6" s="9" customFormat="1" ht="88.9" customHeight="1" x14ac:dyDescent="0.5">
      <c r="A115" s="123" t="b">
        <v>1</v>
      </c>
      <c r="B115" s="124"/>
      <c r="C115" s="597" t="s">
        <v>97</v>
      </c>
      <c r="D115" s="597"/>
      <c r="E115" s="597"/>
      <c r="F115" s="125"/>
    </row>
    <row r="116" spans="1:6" s="9" customFormat="1" ht="72.599999999999994" customHeight="1" x14ac:dyDescent="0.5">
      <c r="A116" s="123" t="b">
        <v>1</v>
      </c>
      <c r="B116" s="124"/>
      <c r="C116" s="598" t="s">
        <v>98</v>
      </c>
      <c r="D116" s="598"/>
      <c r="E116" s="598"/>
      <c r="F116" s="125"/>
    </row>
    <row r="117" spans="1:6" s="9" customFormat="1" x14ac:dyDescent="0.5">
      <c r="A117" s="123" t="b">
        <v>1</v>
      </c>
      <c r="B117" s="124"/>
      <c r="C117" s="597" t="s">
        <v>99</v>
      </c>
      <c r="D117" s="597"/>
      <c r="E117" s="597"/>
      <c r="F117" s="125"/>
    </row>
    <row r="118" spans="1:6" s="9" customFormat="1" ht="40.9" customHeight="1" x14ac:dyDescent="0.5">
      <c r="A118" s="123" t="b">
        <v>1</v>
      </c>
      <c r="B118" s="124"/>
      <c r="C118" s="597" t="s">
        <v>100</v>
      </c>
      <c r="D118" s="597"/>
      <c r="E118" s="597"/>
      <c r="F118" s="125"/>
    </row>
    <row r="119" spans="1:6" s="9" customFormat="1" ht="42.6" customHeight="1" x14ac:dyDescent="0.5">
      <c r="A119" s="123" t="b">
        <v>1</v>
      </c>
      <c r="B119" s="124"/>
      <c r="C119" s="597" t="s">
        <v>101</v>
      </c>
      <c r="D119" s="597"/>
      <c r="E119" s="597"/>
      <c r="F119" s="125"/>
    </row>
    <row r="120" spans="1:6" s="9" customFormat="1" ht="61.9" customHeight="1" x14ac:dyDescent="0.5">
      <c r="A120" s="123" t="b">
        <v>1</v>
      </c>
      <c r="B120" s="124"/>
      <c r="C120" s="597" t="s">
        <v>102</v>
      </c>
      <c r="D120" s="597"/>
      <c r="E120" s="597"/>
      <c r="F120" s="125"/>
    </row>
    <row r="121" spans="1:6" x14ac:dyDescent="0.5">
      <c r="A121" s="50"/>
      <c r="B121" s="53"/>
      <c r="C121" s="601" t="s">
        <v>94</v>
      </c>
      <c r="D121" s="601"/>
      <c r="E121" s="601"/>
      <c r="F121" s="601"/>
    </row>
    <row r="122" spans="1:6" x14ac:dyDescent="0.5">
      <c r="A122" s="54"/>
      <c r="B122" s="55"/>
      <c r="C122" s="56" t="s">
        <v>103</v>
      </c>
      <c r="D122" s="57" t="s">
        <v>30</v>
      </c>
      <c r="E122" s="58">
        <v>4.45</v>
      </c>
      <c r="F122" s="599" t="s">
        <v>34</v>
      </c>
    </row>
    <row r="123" spans="1:6" ht="21" customHeight="1" x14ac:dyDescent="0.5">
      <c r="A123" s="59"/>
      <c r="B123" s="55"/>
      <c r="C123" s="602" t="s">
        <v>124</v>
      </c>
      <c r="D123" s="57" t="s">
        <v>31</v>
      </c>
      <c r="E123" s="42">
        <f>IF(C123="","",IF(ISERROR(D127/D128),,D127/D128))</f>
        <v>4.3337500000000002</v>
      </c>
      <c r="F123" s="599"/>
    </row>
    <row r="124" spans="1:6" ht="21" customHeight="1" x14ac:dyDescent="0.5">
      <c r="A124" s="59"/>
      <c r="B124" s="55"/>
      <c r="C124" s="602"/>
      <c r="D124" s="57" t="s">
        <v>32</v>
      </c>
      <c r="E124" s="43">
        <f>IF(C123="","",IF(ISERROR(D127/D128),,D127/D128))</f>
        <v>4.3337500000000002</v>
      </c>
      <c r="F124" s="599"/>
    </row>
    <row r="125" spans="1:6" ht="24.6" customHeight="1" x14ac:dyDescent="0.5">
      <c r="A125" s="59"/>
      <c r="B125" s="55"/>
      <c r="C125" s="602"/>
      <c r="D125" s="57" t="s">
        <v>33</v>
      </c>
      <c r="E125" s="44" t="str">
        <f>IF(OR(E122="",E123=""),"",IF(E122&lt;=E123,"บรรลุ","ไม่บรรลุ"))</f>
        <v>ไม่บรรลุ</v>
      </c>
      <c r="F125" s="599"/>
    </row>
    <row r="126" spans="1:6" ht="21" customHeight="1" x14ac:dyDescent="0.5">
      <c r="A126" s="59" t="b">
        <v>1</v>
      </c>
      <c r="B126" s="60"/>
      <c r="C126" s="61" t="s">
        <v>49</v>
      </c>
      <c r="D126" s="61"/>
      <c r="E126" s="61"/>
      <c r="F126" s="62"/>
    </row>
    <row r="127" spans="1:6" x14ac:dyDescent="0.5">
      <c r="A127" s="59" t="b">
        <v>1</v>
      </c>
      <c r="B127" s="63"/>
      <c r="C127" s="48" t="s">
        <v>104</v>
      </c>
      <c r="D127" s="128">
        <v>34.67</v>
      </c>
      <c r="E127" s="49"/>
      <c r="F127" s="62"/>
    </row>
    <row r="128" spans="1:6" x14ac:dyDescent="0.5">
      <c r="A128" s="59" t="b">
        <v>1</v>
      </c>
      <c r="B128" s="63"/>
      <c r="C128" s="48" t="s">
        <v>684</v>
      </c>
      <c r="D128" s="128">
        <v>8</v>
      </c>
      <c r="E128" s="49" t="s">
        <v>6</v>
      </c>
      <c r="F128" s="62"/>
    </row>
    <row r="129" spans="1:6" x14ac:dyDescent="0.5">
      <c r="A129" s="59" t="b">
        <v>1</v>
      </c>
      <c r="B129" s="63"/>
      <c r="C129" s="46" t="s">
        <v>105</v>
      </c>
      <c r="D129" s="135">
        <f>IF(C123="","",IF(ISERROR(D127/D128),,D127/D128))</f>
        <v>4.3337500000000002</v>
      </c>
      <c r="E129" s="47" t="s">
        <v>4</v>
      </c>
      <c r="F129" s="62"/>
    </row>
    <row r="131" spans="1:6" x14ac:dyDescent="0.5">
      <c r="A131" s="50"/>
      <c r="B131" s="69"/>
      <c r="C131" s="601" t="s">
        <v>94</v>
      </c>
      <c r="D131" s="601"/>
      <c r="E131" s="601"/>
      <c r="F131" s="601"/>
    </row>
    <row r="132" spans="1:6" x14ac:dyDescent="0.5">
      <c r="A132" s="54"/>
      <c r="B132" s="71"/>
      <c r="C132" s="56" t="s">
        <v>106</v>
      </c>
      <c r="D132" s="57" t="s">
        <v>30</v>
      </c>
      <c r="E132" s="76">
        <v>6</v>
      </c>
      <c r="F132" s="599" t="s">
        <v>34</v>
      </c>
    </row>
    <row r="133" spans="1:6" ht="21" customHeight="1" x14ac:dyDescent="0.5">
      <c r="A133" s="59"/>
      <c r="B133" s="63"/>
      <c r="C133" s="600" t="s">
        <v>124</v>
      </c>
      <c r="D133" s="57" t="s">
        <v>31</v>
      </c>
      <c r="E133" s="77">
        <f>IF(COUNTIFS(A136:A141," flas")=6,"",COUNTIF(A136:A141,"true"))</f>
        <v>6</v>
      </c>
      <c r="F133" s="599"/>
    </row>
    <row r="134" spans="1:6" ht="21" customHeight="1" x14ac:dyDescent="0.5">
      <c r="A134" s="59"/>
      <c r="B134" s="63"/>
      <c r="C134" s="600"/>
      <c r="D134" s="57" t="s">
        <v>32</v>
      </c>
      <c r="E134" s="43">
        <f>IF(E133="","",IF(E133=1,1,IF(E133=2,2,IF(OR(E133=3,E133=4),3,IF(E133=5,4,IF(OR(E133=6,E133=6),5,0))))))</f>
        <v>5</v>
      </c>
      <c r="F134" s="599"/>
    </row>
    <row r="135" spans="1:6" x14ac:dyDescent="0.5">
      <c r="A135" s="59"/>
      <c r="B135" s="63"/>
      <c r="C135" s="600"/>
      <c r="D135" s="57" t="s">
        <v>33</v>
      </c>
      <c r="E135" s="44" t="str">
        <f>IF(OR(E132="",E133=""),"",IF(E132&lt;=E133,"บรรลุ","ไม่บรรลุ"))</f>
        <v>บรรลุ</v>
      </c>
      <c r="F135" s="599"/>
    </row>
    <row r="136" spans="1:6" s="9" customFormat="1" ht="48" customHeight="1" x14ac:dyDescent="0.5">
      <c r="A136" s="123" t="b">
        <v>1</v>
      </c>
      <c r="B136" s="124"/>
      <c r="C136" s="597" t="s">
        <v>107</v>
      </c>
      <c r="D136" s="597"/>
      <c r="E136" s="597"/>
      <c r="F136" s="125"/>
    </row>
    <row r="137" spans="1:6" s="9" customFormat="1" ht="42.6" customHeight="1" x14ac:dyDescent="0.5">
      <c r="A137" s="123" t="b">
        <v>1</v>
      </c>
      <c r="B137" s="124"/>
      <c r="C137" s="597" t="s">
        <v>108</v>
      </c>
      <c r="D137" s="597"/>
      <c r="E137" s="597"/>
      <c r="F137" s="125"/>
    </row>
    <row r="138" spans="1:6" s="9" customFormat="1" ht="47.45" customHeight="1" x14ac:dyDescent="0.5">
      <c r="A138" s="123" t="b">
        <v>1</v>
      </c>
      <c r="B138" s="124"/>
      <c r="C138" s="598" t="s">
        <v>109</v>
      </c>
      <c r="D138" s="598"/>
      <c r="E138" s="598"/>
      <c r="F138" s="125"/>
    </row>
    <row r="139" spans="1:6" s="9" customFormat="1" ht="41.45" customHeight="1" x14ac:dyDescent="0.5">
      <c r="A139" s="123" t="b">
        <v>1</v>
      </c>
      <c r="B139" s="124"/>
      <c r="C139" s="597" t="s">
        <v>110</v>
      </c>
      <c r="D139" s="597"/>
      <c r="E139" s="597"/>
      <c r="F139" s="125"/>
    </row>
    <row r="140" spans="1:6" s="9" customFormat="1" ht="41.45" customHeight="1" x14ac:dyDescent="0.5">
      <c r="A140" s="123" t="b">
        <v>1</v>
      </c>
      <c r="B140" s="124"/>
      <c r="C140" s="597" t="s">
        <v>111</v>
      </c>
      <c r="D140" s="597"/>
      <c r="E140" s="597"/>
      <c r="F140" s="125"/>
    </row>
    <row r="141" spans="1:6" s="9" customFormat="1" x14ac:dyDescent="0.5">
      <c r="A141" s="123" t="b">
        <v>1</v>
      </c>
      <c r="B141" s="124"/>
      <c r="C141" s="597" t="s">
        <v>681</v>
      </c>
      <c r="D141" s="597"/>
      <c r="E141" s="597"/>
      <c r="F141" s="125"/>
    </row>
  </sheetData>
  <mergeCells count="91">
    <mergeCell ref="H3:I4"/>
    <mergeCell ref="H5:I6"/>
    <mergeCell ref="C20:F20"/>
    <mergeCell ref="F21:F24"/>
    <mergeCell ref="C22:C24"/>
    <mergeCell ref="C16:E16"/>
    <mergeCell ref="C39:E39"/>
    <mergeCell ref="C38:E38"/>
    <mergeCell ref="C41:F41"/>
    <mergeCell ref="C2:F2"/>
    <mergeCell ref="F3:F6"/>
    <mergeCell ref="C4:C6"/>
    <mergeCell ref="C11:F11"/>
    <mergeCell ref="F12:F15"/>
    <mergeCell ref="C13:C15"/>
    <mergeCell ref="C25:E25"/>
    <mergeCell ref="C29:F29"/>
    <mergeCell ref="C31:C33"/>
    <mergeCell ref="F30:F33"/>
    <mergeCell ref="C1:F1"/>
    <mergeCell ref="C34:E34"/>
    <mergeCell ref="C35:E35"/>
    <mergeCell ref="C114:E114"/>
    <mergeCell ref="C115:E115"/>
    <mergeCell ref="F42:F45"/>
    <mergeCell ref="C46:E46"/>
    <mergeCell ref="C47:E47"/>
    <mergeCell ref="C48:E48"/>
    <mergeCell ref="C49:E49"/>
    <mergeCell ref="C50:E50"/>
    <mergeCell ref="C51:E51"/>
    <mergeCell ref="C111:C113"/>
    <mergeCell ref="C65:F65"/>
    <mergeCell ref="C36:E36"/>
    <mergeCell ref="C37:E37"/>
    <mergeCell ref="F110:F113"/>
    <mergeCell ref="C59:E59"/>
    <mergeCell ref="C60:E60"/>
    <mergeCell ref="C61:E61"/>
    <mergeCell ref="C62:E62"/>
    <mergeCell ref="C73:E73"/>
    <mergeCell ref="F76:F79"/>
    <mergeCell ref="C77:C79"/>
    <mergeCell ref="C80:E80"/>
    <mergeCell ref="C98:C100"/>
    <mergeCell ref="C75:F75"/>
    <mergeCell ref="C63:E63"/>
    <mergeCell ref="F66:F69"/>
    <mergeCell ref="C67:C69"/>
    <mergeCell ref="C70:E70"/>
    <mergeCell ref="C96:F96"/>
    <mergeCell ref="F97:F100"/>
    <mergeCell ref="C101:E101"/>
    <mergeCell ref="C102:E102"/>
    <mergeCell ref="C103:E103"/>
    <mergeCell ref="C90:E90"/>
    <mergeCell ref="C91:E91"/>
    <mergeCell ref="C92:E92"/>
    <mergeCell ref="C93:E93"/>
    <mergeCell ref="C94:E94"/>
    <mergeCell ref="C43:C45"/>
    <mergeCell ref="C84:F84"/>
    <mergeCell ref="F85:F88"/>
    <mergeCell ref="C86:C88"/>
    <mergeCell ref="C89:E89"/>
    <mergeCell ref="C53:F53"/>
    <mergeCell ref="F54:F57"/>
    <mergeCell ref="C55:C57"/>
    <mergeCell ref="C58:E58"/>
    <mergeCell ref="F132:F135"/>
    <mergeCell ref="C104:E104"/>
    <mergeCell ref="C105:E105"/>
    <mergeCell ref="C106:E106"/>
    <mergeCell ref="C107:E107"/>
    <mergeCell ref="C133:C135"/>
    <mergeCell ref="C131:F131"/>
    <mergeCell ref="C118:E118"/>
    <mergeCell ref="C119:E119"/>
    <mergeCell ref="C120:E120"/>
    <mergeCell ref="C121:F121"/>
    <mergeCell ref="F122:F125"/>
    <mergeCell ref="C123:C125"/>
    <mergeCell ref="C116:E116"/>
    <mergeCell ref="C117:E117"/>
    <mergeCell ref="C109:F109"/>
    <mergeCell ref="C141:E141"/>
    <mergeCell ref="C136:E136"/>
    <mergeCell ref="C137:E137"/>
    <mergeCell ref="C138:E138"/>
    <mergeCell ref="C139:E139"/>
    <mergeCell ref="C140:E140"/>
  </mergeCells>
  <conditionalFormatting sqref="D8:D10">
    <cfRule type="containsBlanks" dxfId="17" priority="8">
      <formula>LEN(TRIM(D8))=0</formula>
    </cfRule>
  </conditionalFormatting>
  <conditionalFormatting sqref="D17:D19">
    <cfRule type="containsBlanks" dxfId="16" priority="7">
      <formula>LEN(TRIM(D17))=0</formula>
    </cfRule>
  </conditionalFormatting>
  <conditionalFormatting sqref="D26:D28">
    <cfRule type="containsBlanks" dxfId="15" priority="6">
      <formula>LEN(TRIM(D26))=0</formula>
    </cfRule>
  </conditionalFormatting>
  <conditionalFormatting sqref="D71">
    <cfRule type="containsBlanks" dxfId="14" priority="4">
      <formula>LEN(TRIM(D71))=0</formula>
    </cfRule>
  </conditionalFormatting>
  <conditionalFormatting sqref="D72">
    <cfRule type="containsBlanks" dxfId="13" priority="5">
      <formula>LEN(TRIM(D72))=0</formula>
    </cfRule>
  </conditionalFormatting>
  <conditionalFormatting sqref="D82">
    <cfRule type="containsBlanks" dxfId="12" priority="3">
      <formula>LEN(TRIM(D82))=0</formula>
    </cfRule>
  </conditionalFormatting>
  <conditionalFormatting sqref="D81">
    <cfRule type="containsBlanks" dxfId="11" priority="2">
      <formula>LEN(TRIM(D81))=0</formula>
    </cfRule>
  </conditionalFormatting>
  <conditionalFormatting sqref="D127:D129">
    <cfRule type="containsBlanks" dxfId="10" priority="1">
      <formula>LEN(TRIM(D127))=0</formula>
    </cfRule>
  </conditionalFormatting>
  <hyperlinks>
    <hyperlink ref="H5:I6" location="'สรุปตาราง 2'!A1" display="ตาราง 2"/>
    <hyperlink ref="H3:I4" location="กรอกคะแนน!A1" display="ตารางกรอกคะแนน"/>
    <hyperlink ref="H3:I6" location="'สรุปตาราง 1'!A1" display="ตาราง 1"/>
  </hyperlinks>
  <printOptions horizontalCentered="1"/>
  <pageMargins left="0.25" right="0.25" top="0.75" bottom="0.75" header="0.3" footer="0.3"/>
  <pageSetup paperSize="9" scale="9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5491" r:id="rId4" name="Check Box 131">
              <controlPr locked="0" defaultSize="0" autoFill="0" autoLine="0" autoPict="0">
                <anchor moveWithCells="1">
                  <from>
                    <xdr:col>2</xdr:col>
                    <xdr:colOff>161925</xdr:colOff>
                    <xdr:row>45</xdr:row>
                    <xdr:rowOff>19050</xdr:rowOff>
                  </from>
                  <to>
                    <xdr:col>4</xdr:col>
                    <xdr:colOff>514350</xdr:colOff>
                    <xdr:row>45</xdr:row>
                    <xdr:rowOff>219075</xdr:rowOff>
                  </to>
                </anchor>
              </controlPr>
            </control>
          </mc:Choice>
        </mc:AlternateContent>
        <mc:AlternateContent xmlns:mc="http://schemas.openxmlformats.org/markup-compatibility/2006">
          <mc:Choice Requires="x14">
            <control shapeId="15492" r:id="rId5" name="Check Box 132">
              <controlPr defaultSize="0" autoFill="0" autoLine="0" autoPict="0">
                <anchor moveWithCells="1">
                  <from>
                    <xdr:col>2</xdr:col>
                    <xdr:colOff>161925</xdr:colOff>
                    <xdr:row>46</xdr:row>
                    <xdr:rowOff>19050</xdr:rowOff>
                  </from>
                  <to>
                    <xdr:col>4</xdr:col>
                    <xdr:colOff>685800</xdr:colOff>
                    <xdr:row>46</xdr:row>
                    <xdr:rowOff>361950</xdr:rowOff>
                  </to>
                </anchor>
              </controlPr>
            </control>
          </mc:Choice>
        </mc:AlternateContent>
        <mc:AlternateContent xmlns:mc="http://schemas.openxmlformats.org/markup-compatibility/2006">
          <mc:Choice Requires="x14">
            <control shapeId="15493" r:id="rId6" name="Check Box 133">
              <controlPr defaultSize="0" autoFill="0" autoLine="0" autoPict="0">
                <anchor moveWithCells="1">
                  <from>
                    <xdr:col>2</xdr:col>
                    <xdr:colOff>161925</xdr:colOff>
                    <xdr:row>47</xdr:row>
                    <xdr:rowOff>19050</xdr:rowOff>
                  </from>
                  <to>
                    <xdr:col>4</xdr:col>
                    <xdr:colOff>685800</xdr:colOff>
                    <xdr:row>47</xdr:row>
                    <xdr:rowOff>209550</xdr:rowOff>
                  </to>
                </anchor>
              </controlPr>
            </control>
          </mc:Choice>
        </mc:AlternateContent>
        <mc:AlternateContent xmlns:mc="http://schemas.openxmlformats.org/markup-compatibility/2006">
          <mc:Choice Requires="x14">
            <control shapeId="15494" r:id="rId7" name="Check Box 134">
              <controlPr defaultSize="0" autoFill="0" autoLine="0" autoPict="0">
                <anchor moveWithCells="1">
                  <from>
                    <xdr:col>2</xdr:col>
                    <xdr:colOff>161925</xdr:colOff>
                    <xdr:row>48</xdr:row>
                    <xdr:rowOff>19050</xdr:rowOff>
                  </from>
                  <to>
                    <xdr:col>4</xdr:col>
                    <xdr:colOff>685800</xdr:colOff>
                    <xdr:row>48</xdr:row>
                    <xdr:rowOff>209550</xdr:rowOff>
                  </to>
                </anchor>
              </controlPr>
            </control>
          </mc:Choice>
        </mc:AlternateContent>
        <mc:AlternateContent xmlns:mc="http://schemas.openxmlformats.org/markup-compatibility/2006">
          <mc:Choice Requires="x14">
            <control shapeId="15495" r:id="rId8" name="Check Box 135">
              <controlPr defaultSize="0" autoFill="0" autoLine="0" autoPict="0">
                <anchor moveWithCells="1">
                  <from>
                    <xdr:col>2</xdr:col>
                    <xdr:colOff>161925</xdr:colOff>
                    <xdr:row>49</xdr:row>
                    <xdr:rowOff>19050</xdr:rowOff>
                  </from>
                  <to>
                    <xdr:col>4</xdr:col>
                    <xdr:colOff>685800</xdr:colOff>
                    <xdr:row>49</xdr:row>
                    <xdr:rowOff>209550</xdr:rowOff>
                  </to>
                </anchor>
              </controlPr>
            </control>
          </mc:Choice>
        </mc:AlternateContent>
        <mc:AlternateContent xmlns:mc="http://schemas.openxmlformats.org/markup-compatibility/2006">
          <mc:Choice Requires="x14">
            <control shapeId="15496" r:id="rId9" name="Check Box 136">
              <controlPr defaultSize="0" autoFill="0" autoLine="0" autoPict="0">
                <anchor moveWithCells="1">
                  <from>
                    <xdr:col>2</xdr:col>
                    <xdr:colOff>161925</xdr:colOff>
                    <xdr:row>50</xdr:row>
                    <xdr:rowOff>19050</xdr:rowOff>
                  </from>
                  <to>
                    <xdr:col>4</xdr:col>
                    <xdr:colOff>542925</xdr:colOff>
                    <xdr:row>50</xdr:row>
                    <xdr:rowOff>200025</xdr:rowOff>
                  </to>
                </anchor>
              </controlPr>
            </control>
          </mc:Choice>
        </mc:AlternateContent>
        <mc:AlternateContent xmlns:mc="http://schemas.openxmlformats.org/markup-compatibility/2006">
          <mc:Choice Requires="x14">
            <control shapeId="15498" r:id="rId10" name="Check Box 138">
              <controlPr defaultSize="0" autoFill="0" autoLine="0" autoPict="0">
                <anchor moveWithCells="1">
                  <from>
                    <xdr:col>2</xdr:col>
                    <xdr:colOff>133350</xdr:colOff>
                    <xdr:row>100</xdr:row>
                    <xdr:rowOff>19050</xdr:rowOff>
                  </from>
                  <to>
                    <xdr:col>4</xdr:col>
                    <xdr:colOff>561975</xdr:colOff>
                    <xdr:row>100</xdr:row>
                    <xdr:rowOff>266700</xdr:rowOff>
                  </to>
                </anchor>
              </controlPr>
            </control>
          </mc:Choice>
        </mc:AlternateContent>
        <mc:AlternateContent xmlns:mc="http://schemas.openxmlformats.org/markup-compatibility/2006">
          <mc:Choice Requires="x14">
            <control shapeId="15499" r:id="rId11" name="Check Box 139">
              <controlPr defaultSize="0" autoFill="0" autoLine="0" autoPict="0">
                <anchor moveWithCells="1">
                  <from>
                    <xdr:col>2</xdr:col>
                    <xdr:colOff>133350</xdr:colOff>
                    <xdr:row>101</xdr:row>
                    <xdr:rowOff>19050</xdr:rowOff>
                  </from>
                  <to>
                    <xdr:col>4</xdr:col>
                    <xdr:colOff>647700</xdr:colOff>
                    <xdr:row>101</xdr:row>
                    <xdr:rowOff>219075</xdr:rowOff>
                  </to>
                </anchor>
              </controlPr>
            </control>
          </mc:Choice>
        </mc:AlternateContent>
        <mc:AlternateContent xmlns:mc="http://schemas.openxmlformats.org/markup-compatibility/2006">
          <mc:Choice Requires="x14">
            <control shapeId="15500" r:id="rId12" name="Check Box 140">
              <controlPr defaultSize="0" autoFill="0" autoLine="0" autoPict="0">
                <anchor moveWithCells="1">
                  <from>
                    <xdr:col>2</xdr:col>
                    <xdr:colOff>133350</xdr:colOff>
                    <xdr:row>102</xdr:row>
                    <xdr:rowOff>19050</xdr:rowOff>
                  </from>
                  <to>
                    <xdr:col>4</xdr:col>
                    <xdr:colOff>647700</xdr:colOff>
                    <xdr:row>102</xdr:row>
                    <xdr:rowOff>219075</xdr:rowOff>
                  </to>
                </anchor>
              </controlPr>
            </control>
          </mc:Choice>
        </mc:AlternateContent>
        <mc:AlternateContent xmlns:mc="http://schemas.openxmlformats.org/markup-compatibility/2006">
          <mc:Choice Requires="x14">
            <control shapeId="15501" r:id="rId13" name="Check Box 141">
              <controlPr defaultSize="0" autoFill="0" autoLine="0" autoPict="0">
                <anchor moveWithCells="1">
                  <from>
                    <xdr:col>2</xdr:col>
                    <xdr:colOff>133350</xdr:colOff>
                    <xdr:row>103</xdr:row>
                    <xdr:rowOff>19050</xdr:rowOff>
                  </from>
                  <to>
                    <xdr:col>4</xdr:col>
                    <xdr:colOff>647700</xdr:colOff>
                    <xdr:row>103</xdr:row>
                    <xdr:rowOff>219075</xdr:rowOff>
                  </to>
                </anchor>
              </controlPr>
            </control>
          </mc:Choice>
        </mc:AlternateContent>
        <mc:AlternateContent xmlns:mc="http://schemas.openxmlformats.org/markup-compatibility/2006">
          <mc:Choice Requires="x14">
            <control shapeId="15502" r:id="rId14" name="Check Box 142">
              <controlPr defaultSize="0" autoFill="0" autoLine="0" autoPict="0">
                <anchor moveWithCells="1">
                  <from>
                    <xdr:col>2</xdr:col>
                    <xdr:colOff>133350</xdr:colOff>
                    <xdr:row>104</xdr:row>
                    <xdr:rowOff>19050</xdr:rowOff>
                  </from>
                  <to>
                    <xdr:col>4</xdr:col>
                    <xdr:colOff>647700</xdr:colOff>
                    <xdr:row>104</xdr:row>
                    <xdr:rowOff>219075</xdr:rowOff>
                  </to>
                </anchor>
              </controlPr>
            </control>
          </mc:Choice>
        </mc:AlternateContent>
        <mc:AlternateContent xmlns:mc="http://schemas.openxmlformats.org/markup-compatibility/2006">
          <mc:Choice Requires="x14">
            <control shapeId="15503" r:id="rId15" name="Check Box 143">
              <controlPr defaultSize="0" autoFill="0" autoLine="0" autoPict="0">
                <anchor moveWithCells="1">
                  <from>
                    <xdr:col>2</xdr:col>
                    <xdr:colOff>133350</xdr:colOff>
                    <xdr:row>105</xdr:row>
                    <xdr:rowOff>19050</xdr:rowOff>
                  </from>
                  <to>
                    <xdr:col>4</xdr:col>
                    <xdr:colOff>647700</xdr:colOff>
                    <xdr:row>105</xdr:row>
                    <xdr:rowOff>219075</xdr:rowOff>
                  </to>
                </anchor>
              </controlPr>
            </control>
          </mc:Choice>
        </mc:AlternateContent>
        <mc:AlternateContent xmlns:mc="http://schemas.openxmlformats.org/markup-compatibility/2006">
          <mc:Choice Requires="x14">
            <control shapeId="15504" r:id="rId16" name="Check Box 144">
              <controlPr defaultSize="0" autoFill="0" autoLine="0" autoPict="0">
                <anchor moveWithCells="1">
                  <from>
                    <xdr:col>2</xdr:col>
                    <xdr:colOff>133350</xdr:colOff>
                    <xdr:row>106</xdr:row>
                    <xdr:rowOff>19050</xdr:rowOff>
                  </from>
                  <to>
                    <xdr:col>4</xdr:col>
                    <xdr:colOff>647700</xdr:colOff>
                    <xdr:row>106</xdr:row>
                    <xdr:rowOff>219075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2</xdr:col>
                    <xdr:colOff>152400</xdr:colOff>
                    <xdr:row>135</xdr:row>
                    <xdr:rowOff>9525</xdr:rowOff>
                  </from>
                  <to>
                    <xdr:col>4</xdr:col>
                    <xdr:colOff>609600</xdr:colOff>
                    <xdr:row>135</xdr:row>
                    <xdr:rowOff>390525</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2</xdr:col>
                    <xdr:colOff>152400</xdr:colOff>
                    <xdr:row>136</xdr:row>
                    <xdr:rowOff>19050</xdr:rowOff>
                  </from>
                  <to>
                    <xdr:col>4</xdr:col>
                    <xdr:colOff>647700</xdr:colOff>
                    <xdr:row>136</xdr:row>
                    <xdr:rowOff>361950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2</xdr:col>
                    <xdr:colOff>152400</xdr:colOff>
                    <xdr:row>137</xdr:row>
                    <xdr:rowOff>9525</xdr:rowOff>
                  </from>
                  <to>
                    <xdr:col>4</xdr:col>
                    <xdr:colOff>609600</xdr:colOff>
                    <xdr:row>137</xdr:row>
                    <xdr:rowOff>276225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2</xdr:col>
                    <xdr:colOff>152400</xdr:colOff>
                    <xdr:row>137</xdr:row>
                    <xdr:rowOff>581025</xdr:rowOff>
                  </from>
                  <to>
                    <xdr:col>4</xdr:col>
                    <xdr:colOff>542925</xdr:colOff>
                    <xdr:row>138</xdr:row>
                    <xdr:rowOff>266700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2</xdr:col>
                    <xdr:colOff>152400</xdr:colOff>
                    <xdr:row>139</xdr:row>
                    <xdr:rowOff>9525</xdr:rowOff>
                  </from>
                  <to>
                    <xdr:col>4</xdr:col>
                    <xdr:colOff>609600</xdr:colOff>
                    <xdr:row>139</xdr:row>
                    <xdr:rowOff>276225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2</xdr:col>
                    <xdr:colOff>152400</xdr:colOff>
                    <xdr:row>140</xdr:row>
                    <xdr:rowOff>9525</xdr:rowOff>
                  </from>
                  <to>
                    <xdr:col>4</xdr:col>
                    <xdr:colOff>609600</xdr:colOff>
                    <xdr:row>140</xdr:row>
                    <xdr:rowOff>276225</xdr:rowOff>
                  </to>
                </anchor>
              </controlPr>
            </control>
          </mc:Choice>
        </mc:AlternateContent>
        <mc:AlternateContent xmlns:mc="http://schemas.openxmlformats.org/markup-compatibility/2006">
          <mc:Choice Requires="x14">
            <control shapeId="15521" r:id="rId23" name="Check Box 161">
              <controlPr defaultSize="0" autoFill="0" autoLine="0" autoPict="0">
                <anchor moveWithCells="1">
                  <from>
                    <xdr:col>2</xdr:col>
                    <xdr:colOff>142875</xdr:colOff>
                    <xdr:row>34</xdr:row>
                    <xdr:rowOff>19050</xdr:rowOff>
                  </from>
                  <to>
                    <xdr:col>4</xdr:col>
                    <xdr:colOff>714375</xdr:colOff>
                    <xdr:row>34</xdr:row>
                    <xdr:rowOff>247650</xdr:rowOff>
                  </to>
                </anchor>
              </controlPr>
            </control>
          </mc:Choice>
        </mc:AlternateContent>
        <mc:AlternateContent xmlns:mc="http://schemas.openxmlformats.org/markup-compatibility/2006">
          <mc:Choice Requires="x14">
            <control shapeId="15522" r:id="rId24" name="Check Box 162">
              <controlPr defaultSize="0" autoFill="0" autoLine="0" autoPict="0" macro="[0]!CheckBox162_คลิก">
                <anchor moveWithCells="1">
                  <from>
                    <xdr:col>2</xdr:col>
                    <xdr:colOff>142875</xdr:colOff>
                    <xdr:row>33</xdr:row>
                    <xdr:rowOff>19050</xdr:rowOff>
                  </from>
                  <to>
                    <xdr:col>4</xdr:col>
                    <xdr:colOff>542925</xdr:colOff>
                    <xdr:row>33</xdr:row>
                    <xdr:rowOff>247650</xdr:rowOff>
                  </to>
                </anchor>
              </controlPr>
            </control>
          </mc:Choice>
        </mc:AlternateContent>
        <mc:AlternateContent xmlns:mc="http://schemas.openxmlformats.org/markup-compatibility/2006">
          <mc:Choice Requires="x14">
            <control shapeId="15523" r:id="rId25" name="Check Box 163">
              <controlPr defaultSize="0" autoFill="0" autoLine="0" autoPict="0">
                <anchor moveWithCells="1">
                  <from>
                    <xdr:col>2</xdr:col>
                    <xdr:colOff>142875</xdr:colOff>
                    <xdr:row>35</xdr:row>
                    <xdr:rowOff>19050</xdr:rowOff>
                  </from>
                  <to>
                    <xdr:col>4</xdr:col>
                    <xdr:colOff>714375</xdr:colOff>
                    <xdr:row>35</xdr:row>
                    <xdr:rowOff>247650</xdr:rowOff>
                  </to>
                </anchor>
              </controlPr>
            </control>
          </mc:Choice>
        </mc:AlternateContent>
        <mc:AlternateContent xmlns:mc="http://schemas.openxmlformats.org/markup-compatibility/2006">
          <mc:Choice Requires="x14">
            <control shapeId="15524" r:id="rId26" name="Check Box 164">
              <controlPr defaultSize="0" autoFill="0" autoLine="0" autoPict="0">
                <anchor moveWithCells="1">
                  <from>
                    <xdr:col>2</xdr:col>
                    <xdr:colOff>142875</xdr:colOff>
                    <xdr:row>36</xdr:row>
                    <xdr:rowOff>19050</xdr:rowOff>
                  </from>
                  <to>
                    <xdr:col>4</xdr:col>
                    <xdr:colOff>714375</xdr:colOff>
                    <xdr:row>36</xdr:row>
                    <xdr:rowOff>247650</xdr:rowOff>
                  </to>
                </anchor>
              </controlPr>
            </control>
          </mc:Choice>
        </mc:AlternateContent>
        <mc:AlternateContent xmlns:mc="http://schemas.openxmlformats.org/markup-compatibility/2006">
          <mc:Choice Requires="x14">
            <control shapeId="15525" r:id="rId27" name="Check Box 165">
              <controlPr defaultSize="0" autoFill="0" autoLine="0" autoPict="0">
                <anchor moveWithCells="1">
                  <from>
                    <xdr:col>2</xdr:col>
                    <xdr:colOff>142875</xdr:colOff>
                    <xdr:row>37</xdr:row>
                    <xdr:rowOff>19050</xdr:rowOff>
                  </from>
                  <to>
                    <xdr:col>4</xdr:col>
                    <xdr:colOff>714375</xdr:colOff>
                    <xdr:row>37</xdr:row>
                    <xdr:rowOff>247650</xdr:rowOff>
                  </to>
                </anchor>
              </controlPr>
            </control>
          </mc:Choice>
        </mc:AlternateContent>
        <mc:AlternateContent xmlns:mc="http://schemas.openxmlformats.org/markup-compatibility/2006">
          <mc:Choice Requires="x14">
            <control shapeId="15526" r:id="rId28" name="Check Box 166">
              <controlPr defaultSize="0" autoFill="0" autoLine="0" autoPict="0">
                <anchor moveWithCells="1">
                  <from>
                    <xdr:col>2</xdr:col>
                    <xdr:colOff>142875</xdr:colOff>
                    <xdr:row>38</xdr:row>
                    <xdr:rowOff>19050</xdr:rowOff>
                  </from>
                  <to>
                    <xdr:col>4</xdr:col>
                    <xdr:colOff>714375</xdr:colOff>
                    <xdr:row>38</xdr:row>
                    <xdr:rowOff>247650</xdr:rowOff>
                  </to>
                </anchor>
              </controlPr>
            </control>
          </mc:Choice>
        </mc:AlternateContent>
        <mc:AlternateContent xmlns:mc="http://schemas.openxmlformats.org/markup-compatibility/2006">
          <mc:Choice Requires="x14">
            <control shapeId="15527" r:id="rId29" name="Check Box 167">
              <controlPr defaultSize="0" autoFill="0" autoLine="0" autoPict="0">
                <anchor moveWithCells="1">
                  <from>
                    <xdr:col>2</xdr:col>
                    <xdr:colOff>152400</xdr:colOff>
                    <xdr:row>57</xdr:row>
                    <xdr:rowOff>9525</xdr:rowOff>
                  </from>
                  <to>
                    <xdr:col>4</xdr:col>
                    <xdr:colOff>609600</xdr:colOff>
                    <xdr:row>57</xdr:row>
                    <xdr:rowOff>276225</xdr:rowOff>
                  </to>
                </anchor>
              </controlPr>
            </control>
          </mc:Choice>
        </mc:AlternateContent>
        <mc:AlternateContent xmlns:mc="http://schemas.openxmlformats.org/markup-compatibility/2006">
          <mc:Choice Requires="x14">
            <control shapeId="15528" r:id="rId30" name="Check Box 168">
              <controlPr defaultSize="0" autoFill="0" autoLine="0" autoPict="0">
                <anchor moveWithCells="1">
                  <from>
                    <xdr:col>2</xdr:col>
                    <xdr:colOff>152400</xdr:colOff>
                    <xdr:row>58</xdr:row>
                    <xdr:rowOff>9525</xdr:rowOff>
                  </from>
                  <to>
                    <xdr:col>4</xdr:col>
                    <xdr:colOff>609600</xdr:colOff>
                    <xdr:row>58</xdr:row>
                    <xdr:rowOff>276225</xdr:rowOff>
                  </to>
                </anchor>
              </controlPr>
            </control>
          </mc:Choice>
        </mc:AlternateContent>
        <mc:AlternateContent xmlns:mc="http://schemas.openxmlformats.org/markup-compatibility/2006">
          <mc:Choice Requires="x14">
            <control shapeId="15529" r:id="rId31" name="Check Box 169">
              <controlPr defaultSize="0" autoFill="0" autoLine="0" autoPict="0">
                <anchor moveWithCells="1">
                  <from>
                    <xdr:col>2</xdr:col>
                    <xdr:colOff>152400</xdr:colOff>
                    <xdr:row>59</xdr:row>
                    <xdr:rowOff>9525</xdr:rowOff>
                  </from>
                  <to>
                    <xdr:col>4</xdr:col>
                    <xdr:colOff>609600</xdr:colOff>
                    <xdr:row>59</xdr:row>
                    <xdr:rowOff>276225</xdr:rowOff>
                  </to>
                </anchor>
              </controlPr>
            </control>
          </mc:Choice>
        </mc:AlternateContent>
        <mc:AlternateContent xmlns:mc="http://schemas.openxmlformats.org/markup-compatibility/2006">
          <mc:Choice Requires="x14">
            <control shapeId="15530" r:id="rId32" name="Check Box 170">
              <controlPr defaultSize="0" autoFill="0" autoLine="0" autoPict="0">
                <anchor moveWithCells="1">
                  <from>
                    <xdr:col>2</xdr:col>
                    <xdr:colOff>152400</xdr:colOff>
                    <xdr:row>60</xdr:row>
                    <xdr:rowOff>9525</xdr:rowOff>
                  </from>
                  <to>
                    <xdr:col>4</xdr:col>
                    <xdr:colOff>609600</xdr:colOff>
                    <xdr:row>60</xdr:row>
                    <xdr:rowOff>276225</xdr:rowOff>
                  </to>
                </anchor>
              </controlPr>
            </control>
          </mc:Choice>
        </mc:AlternateContent>
        <mc:AlternateContent xmlns:mc="http://schemas.openxmlformats.org/markup-compatibility/2006">
          <mc:Choice Requires="x14">
            <control shapeId="15531" r:id="rId33" name="Check Box 171">
              <controlPr defaultSize="0" autoFill="0" autoLine="0" autoPict="0">
                <anchor moveWithCells="1">
                  <from>
                    <xdr:col>2</xdr:col>
                    <xdr:colOff>152400</xdr:colOff>
                    <xdr:row>61</xdr:row>
                    <xdr:rowOff>9525</xdr:rowOff>
                  </from>
                  <to>
                    <xdr:col>4</xdr:col>
                    <xdr:colOff>609600</xdr:colOff>
                    <xdr:row>61</xdr:row>
                    <xdr:rowOff>276225</xdr:rowOff>
                  </to>
                </anchor>
              </controlPr>
            </control>
          </mc:Choice>
        </mc:AlternateContent>
        <mc:AlternateContent xmlns:mc="http://schemas.openxmlformats.org/markup-compatibility/2006">
          <mc:Choice Requires="x14">
            <control shapeId="15532" r:id="rId34" name="Check Box 172">
              <controlPr defaultSize="0" autoFill="0" autoLine="0" autoPict="0">
                <anchor moveWithCells="1">
                  <from>
                    <xdr:col>2</xdr:col>
                    <xdr:colOff>152400</xdr:colOff>
                    <xdr:row>62</xdr:row>
                    <xdr:rowOff>9525</xdr:rowOff>
                  </from>
                  <to>
                    <xdr:col>4</xdr:col>
                    <xdr:colOff>609600</xdr:colOff>
                    <xdr:row>62</xdr:row>
                    <xdr:rowOff>276225</xdr:rowOff>
                  </to>
                </anchor>
              </controlPr>
            </control>
          </mc:Choice>
        </mc:AlternateContent>
        <mc:AlternateContent xmlns:mc="http://schemas.openxmlformats.org/markup-compatibility/2006">
          <mc:Choice Requires="x14">
            <control shapeId="15533" r:id="rId35" name="Check Box 173">
              <controlPr defaultSize="0" autoFill="0" autoLine="0" autoPict="0">
                <anchor moveWithCells="1">
                  <from>
                    <xdr:col>2</xdr:col>
                    <xdr:colOff>142875</xdr:colOff>
                    <xdr:row>89</xdr:row>
                    <xdr:rowOff>19050</xdr:rowOff>
                  </from>
                  <to>
                    <xdr:col>4</xdr:col>
                    <xdr:colOff>714375</xdr:colOff>
                    <xdr:row>89</xdr:row>
                    <xdr:rowOff>247650</xdr:rowOff>
                  </to>
                </anchor>
              </controlPr>
            </control>
          </mc:Choice>
        </mc:AlternateContent>
        <mc:AlternateContent xmlns:mc="http://schemas.openxmlformats.org/markup-compatibility/2006">
          <mc:Choice Requires="x14">
            <control shapeId="15534" r:id="rId36" name="Check Box 174">
              <controlPr defaultSize="0" autoFill="0" autoLine="0" autoPict="0">
                <anchor moveWithCells="1">
                  <from>
                    <xdr:col>2</xdr:col>
                    <xdr:colOff>142875</xdr:colOff>
                    <xdr:row>88</xdr:row>
                    <xdr:rowOff>19050</xdr:rowOff>
                  </from>
                  <to>
                    <xdr:col>4</xdr:col>
                    <xdr:colOff>266700</xdr:colOff>
                    <xdr:row>88</xdr:row>
                    <xdr:rowOff>323850</xdr:rowOff>
                  </to>
                </anchor>
              </controlPr>
            </control>
          </mc:Choice>
        </mc:AlternateContent>
        <mc:AlternateContent xmlns:mc="http://schemas.openxmlformats.org/markup-compatibility/2006">
          <mc:Choice Requires="x14">
            <control shapeId="15535" r:id="rId37" name="Check Box 175">
              <controlPr defaultSize="0" autoFill="0" autoLine="0" autoPict="0">
                <anchor moveWithCells="1">
                  <from>
                    <xdr:col>2</xdr:col>
                    <xdr:colOff>142875</xdr:colOff>
                    <xdr:row>90</xdr:row>
                    <xdr:rowOff>19050</xdr:rowOff>
                  </from>
                  <to>
                    <xdr:col>4</xdr:col>
                    <xdr:colOff>419100</xdr:colOff>
                    <xdr:row>90</xdr:row>
                    <xdr:rowOff>266700</xdr:rowOff>
                  </to>
                </anchor>
              </controlPr>
            </control>
          </mc:Choice>
        </mc:AlternateContent>
        <mc:AlternateContent xmlns:mc="http://schemas.openxmlformats.org/markup-compatibility/2006">
          <mc:Choice Requires="x14">
            <control shapeId="15536" r:id="rId38" name="Check Box 176">
              <controlPr defaultSize="0" autoFill="0" autoLine="0" autoPict="0">
                <anchor moveWithCells="1">
                  <from>
                    <xdr:col>2</xdr:col>
                    <xdr:colOff>142875</xdr:colOff>
                    <xdr:row>91</xdr:row>
                    <xdr:rowOff>19050</xdr:rowOff>
                  </from>
                  <to>
                    <xdr:col>4</xdr:col>
                    <xdr:colOff>400050</xdr:colOff>
                    <xdr:row>91</xdr:row>
                    <xdr:rowOff>238125</xdr:rowOff>
                  </to>
                </anchor>
              </controlPr>
            </control>
          </mc:Choice>
        </mc:AlternateContent>
        <mc:AlternateContent xmlns:mc="http://schemas.openxmlformats.org/markup-compatibility/2006">
          <mc:Choice Requires="x14">
            <control shapeId="15537" r:id="rId39" name="Check Box 177">
              <controlPr defaultSize="0" autoFill="0" autoLine="0" autoPict="0">
                <anchor moveWithCells="1">
                  <from>
                    <xdr:col>2</xdr:col>
                    <xdr:colOff>142875</xdr:colOff>
                    <xdr:row>92</xdr:row>
                    <xdr:rowOff>19050</xdr:rowOff>
                  </from>
                  <to>
                    <xdr:col>4</xdr:col>
                    <xdr:colOff>714375</xdr:colOff>
                    <xdr:row>92</xdr:row>
                    <xdr:rowOff>247650</xdr:rowOff>
                  </to>
                </anchor>
              </controlPr>
            </control>
          </mc:Choice>
        </mc:AlternateContent>
        <mc:AlternateContent xmlns:mc="http://schemas.openxmlformats.org/markup-compatibility/2006">
          <mc:Choice Requires="x14">
            <control shapeId="15538" r:id="rId40" name="Check Box 178">
              <controlPr defaultSize="0" autoFill="0" autoLine="0" autoPict="0">
                <anchor moveWithCells="1">
                  <from>
                    <xdr:col>2</xdr:col>
                    <xdr:colOff>142875</xdr:colOff>
                    <xdr:row>93</xdr:row>
                    <xdr:rowOff>38100</xdr:rowOff>
                  </from>
                  <to>
                    <xdr:col>4</xdr:col>
                    <xdr:colOff>542925</xdr:colOff>
                    <xdr:row>93</xdr:row>
                    <xdr:rowOff>285750</xdr:rowOff>
                  </to>
                </anchor>
              </controlPr>
            </control>
          </mc:Choice>
        </mc:AlternateContent>
        <mc:AlternateContent xmlns:mc="http://schemas.openxmlformats.org/markup-compatibility/2006">
          <mc:Choice Requires="x14">
            <control shapeId="15539" r:id="rId41" name="Check Box 179">
              <controlPr defaultSize="0" autoFill="0" autoLine="0" autoPict="0">
                <anchor moveWithCells="1">
                  <from>
                    <xdr:col>2</xdr:col>
                    <xdr:colOff>133350</xdr:colOff>
                    <xdr:row>113</xdr:row>
                    <xdr:rowOff>19050</xdr:rowOff>
                  </from>
                  <to>
                    <xdr:col>4</xdr:col>
                    <xdr:colOff>561975</xdr:colOff>
                    <xdr:row>113</xdr:row>
                    <xdr:rowOff>266700</xdr:rowOff>
                  </to>
                </anchor>
              </controlPr>
            </control>
          </mc:Choice>
        </mc:AlternateContent>
        <mc:AlternateContent xmlns:mc="http://schemas.openxmlformats.org/markup-compatibility/2006">
          <mc:Choice Requires="x14">
            <control shapeId="15540" r:id="rId42" name="Check Box 180">
              <controlPr defaultSize="0" autoFill="0" autoLine="0" autoPict="0">
                <anchor moveWithCells="1">
                  <from>
                    <xdr:col>2</xdr:col>
                    <xdr:colOff>133350</xdr:colOff>
                    <xdr:row>114</xdr:row>
                    <xdr:rowOff>19050</xdr:rowOff>
                  </from>
                  <to>
                    <xdr:col>4</xdr:col>
                    <xdr:colOff>647700</xdr:colOff>
                    <xdr:row>114</xdr:row>
                    <xdr:rowOff>219075</xdr:rowOff>
                  </to>
                </anchor>
              </controlPr>
            </control>
          </mc:Choice>
        </mc:AlternateContent>
        <mc:AlternateContent xmlns:mc="http://schemas.openxmlformats.org/markup-compatibility/2006">
          <mc:Choice Requires="x14">
            <control shapeId="15541" r:id="rId43" name="Check Box 181">
              <controlPr defaultSize="0" autoFill="0" autoLine="0" autoPict="0">
                <anchor moveWithCells="1">
                  <from>
                    <xdr:col>2</xdr:col>
                    <xdr:colOff>133350</xdr:colOff>
                    <xdr:row>115</xdr:row>
                    <xdr:rowOff>19050</xdr:rowOff>
                  </from>
                  <to>
                    <xdr:col>4</xdr:col>
                    <xdr:colOff>571500</xdr:colOff>
                    <xdr:row>115</xdr:row>
                    <xdr:rowOff>209550</xdr:rowOff>
                  </to>
                </anchor>
              </controlPr>
            </control>
          </mc:Choice>
        </mc:AlternateContent>
        <mc:AlternateContent xmlns:mc="http://schemas.openxmlformats.org/markup-compatibility/2006">
          <mc:Choice Requires="x14">
            <control shapeId="15542" r:id="rId44" name="Check Box 182">
              <controlPr defaultSize="0" autoFill="0" autoLine="0" autoPict="0">
                <anchor moveWithCells="1">
                  <from>
                    <xdr:col>2</xdr:col>
                    <xdr:colOff>133350</xdr:colOff>
                    <xdr:row>116</xdr:row>
                    <xdr:rowOff>19050</xdr:rowOff>
                  </from>
                  <to>
                    <xdr:col>4</xdr:col>
                    <xdr:colOff>647700</xdr:colOff>
                    <xdr:row>116</xdr:row>
                    <xdr:rowOff>219075</xdr:rowOff>
                  </to>
                </anchor>
              </controlPr>
            </control>
          </mc:Choice>
        </mc:AlternateContent>
        <mc:AlternateContent xmlns:mc="http://schemas.openxmlformats.org/markup-compatibility/2006">
          <mc:Choice Requires="x14">
            <control shapeId="15543" r:id="rId45" name="Check Box 183">
              <controlPr defaultSize="0" autoFill="0" autoLine="0" autoPict="0">
                <anchor moveWithCells="1">
                  <from>
                    <xdr:col>2</xdr:col>
                    <xdr:colOff>133350</xdr:colOff>
                    <xdr:row>117</xdr:row>
                    <xdr:rowOff>19050</xdr:rowOff>
                  </from>
                  <to>
                    <xdr:col>4</xdr:col>
                    <xdr:colOff>638175</xdr:colOff>
                    <xdr:row>117</xdr:row>
                    <xdr:rowOff>200025</xdr:rowOff>
                  </to>
                </anchor>
              </controlPr>
            </control>
          </mc:Choice>
        </mc:AlternateContent>
        <mc:AlternateContent xmlns:mc="http://schemas.openxmlformats.org/markup-compatibility/2006">
          <mc:Choice Requires="x14">
            <control shapeId="15544" r:id="rId46" name="Check Box 184">
              <controlPr defaultSize="0" autoFill="0" autoLine="0" autoPict="0">
                <anchor moveWithCells="1">
                  <from>
                    <xdr:col>2</xdr:col>
                    <xdr:colOff>133350</xdr:colOff>
                    <xdr:row>118</xdr:row>
                    <xdr:rowOff>19050</xdr:rowOff>
                  </from>
                  <to>
                    <xdr:col>4</xdr:col>
                    <xdr:colOff>609600</xdr:colOff>
                    <xdr:row>118</xdr:row>
                    <xdr:rowOff>247650</xdr:rowOff>
                  </to>
                </anchor>
              </controlPr>
            </control>
          </mc:Choice>
        </mc:AlternateContent>
        <mc:AlternateContent xmlns:mc="http://schemas.openxmlformats.org/markup-compatibility/2006">
          <mc:Choice Requires="x14">
            <control shapeId="15545" r:id="rId47" name="Check Box 185">
              <controlPr defaultSize="0" autoFill="0" autoLine="0" autoPict="0">
                <anchor moveWithCells="1">
                  <from>
                    <xdr:col>2</xdr:col>
                    <xdr:colOff>133350</xdr:colOff>
                    <xdr:row>119</xdr:row>
                    <xdr:rowOff>19050</xdr:rowOff>
                  </from>
                  <to>
                    <xdr:col>4</xdr:col>
                    <xdr:colOff>619125</xdr:colOff>
                    <xdr:row>119</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AQ115"/>
  <sheetViews>
    <sheetView view="pageBreakPreview" topLeftCell="A4" zoomScale="85" zoomScaleNormal="85" zoomScaleSheetLayoutView="85" workbookViewId="0">
      <selection activeCell="H29" sqref="H29"/>
    </sheetView>
  </sheetViews>
  <sheetFormatPr defaultColWidth="9.08984375" defaultRowHeight="23.25" x14ac:dyDescent="0.5"/>
  <cols>
    <col min="1" max="1" width="13.08984375" style="10" customWidth="1"/>
    <col min="2" max="2" width="3" style="10" customWidth="1"/>
    <col min="3" max="3" width="21" style="10" customWidth="1"/>
    <col min="4" max="4" width="8" style="10" bestFit="1" customWidth="1"/>
    <col min="5" max="5" width="6.54296875" style="10" customWidth="1"/>
    <col min="6" max="6" width="6.1796875" style="10" customWidth="1"/>
    <col min="7" max="7" width="7.36328125" style="10" bestFit="1" customWidth="1"/>
    <col min="8" max="8" width="7.26953125" style="10" customWidth="1"/>
    <col min="9" max="9" width="9.453125" style="10" customWidth="1"/>
    <col min="10" max="10" width="17.81640625" style="10" customWidth="1"/>
    <col min="11" max="11" width="34.7265625" style="10" hidden="1" customWidth="1"/>
    <col min="12" max="12" width="7.08984375" style="10" hidden="1" customWidth="1"/>
    <col min="13" max="13" width="6.6328125" style="10" hidden="1" customWidth="1"/>
    <col min="14" max="14" width="6.453125" style="10" hidden="1" customWidth="1"/>
    <col min="15" max="15" width="6.6328125" style="10" hidden="1" customWidth="1"/>
    <col min="16" max="16" width="1.453125" style="10" hidden="1" customWidth="1"/>
    <col min="17" max="17" width="6" style="10" hidden="1" customWidth="1"/>
    <col min="18" max="18" width="8.36328125" style="10" customWidth="1"/>
    <col min="19" max="19" width="7" style="10" customWidth="1"/>
    <col min="20" max="20" width="11.7265625" style="10" customWidth="1"/>
    <col min="21" max="21" width="7.08984375" style="10" customWidth="1"/>
    <col min="22" max="22" width="7" style="10" customWidth="1"/>
    <col min="23" max="16384" width="9.08984375" style="10"/>
  </cols>
  <sheetData>
    <row r="1" spans="1:30" ht="38.450000000000003" customHeight="1" x14ac:dyDescent="0.5">
      <c r="A1" s="644" t="s">
        <v>29</v>
      </c>
      <c r="B1" s="645"/>
      <c r="C1" s="645"/>
      <c r="D1" s="645"/>
      <c r="E1" s="645"/>
      <c r="F1" s="645"/>
      <c r="G1" s="645"/>
      <c r="H1" s="645"/>
      <c r="I1" s="645"/>
      <c r="J1" s="646"/>
      <c r="K1" s="6"/>
      <c r="L1" s="7"/>
      <c r="M1" s="7"/>
      <c r="N1" s="7"/>
      <c r="O1" s="7"/>
      <c r="P1" s="8"/>
      <c r="Q1" s="7"/>
      <c r="R1" s="9"/>
      <c r="S1" s="9"/>
      <c r="T1" s="9"/>
      <c r="U1" s="9"/>
      <c r="V1" s="9"/>
      <c r="W1" s="9"/>
      <c r="X1" s="9"/>
      <c r="Y1" s="9"/>
      <c r="Z1" s="9"/>
      <c r="AA1" s="9"/>
      <c r="AB1" s="9"/>
      <c r="AC1" s="9"/>
      <c r="AD1" s="9"/>
    </row>
    <row r="2" spans="1:30" ht="32.25" thickBot="1" x14ac:dyDescent="0.55000000000000004">
      <c r="A2" s="647" t="s">
        <v>55</v>
      </c>
      <c r="B2" s="648"/>
      <c r="C2" s="650" t="str">
        <f>กรอกคะแนน!C4</f>
        <v>ชื่อหน่วยงานที่ประเมิน : มหาวิทยาลัยราชภัฏวไลยอลงกรณ์ ในพระบรมราชูปถัมภ์</v>
      </c>
      <c r="D2" s="650"/>
      <c r="E2" s="650"/>
      <c r="F2" s="650"/>
      <c r="G2" s="650"/>
      <c r="H2" s="650"/>
      <c r="I2" s="650"/>
      <c r="J2" s="651"/>
      <c r="K2" s="7"/>
      <c r="L2" s="7"/>
      <c r="M2" s="7"/>
      <c r="N2" s="7"/>
      <c r="O2" s="7"/>
      <c r="P2" s="7"/>
      <c r="Q2" s="7"/>
      <c r="R2" s="9"/>
      <c r="S2" s="9"/>
      <c r="T2" s="9"/>
      <c r="U2" s="9"/>
      <c r="V2" s="9"/>
      <c r="W2" s="9"/>
      <c r="X2" s="9"/>
      <c r="Y2" s="9"/>
      <c r="Z2" s="9"/>
      <c r="AA2" s="9"/>
      <c r="AB2" s="9"/>
      <c r="AC2" s="9"/>
      <c r="AD2" s="9"/>
    </row>
    <row r="3" spans="1:30" ht="29.45" customHeight="1" x14ac:dyDescent="0.5">
      <c r="A3" s="649" t="s">
        <v>15</v>
      </c>
      <c r="B3" s="649"/>
      <c r="C3" s="649"/>
      <c r="D3" s="679" t="s">
        <v>56</v>
      </c>
      <c r="E3" s="675" t="s">
        <v>0</v>
      </c>
      <c r="F3" s="676"/>
      <c r="G3" s="676"/>
      <c r="H3" s="649" t="s">
        <v>57</v>
      </c>
      <c r="I3" s="677" t="s">
        <v>17</v>
      </c>
      <c r="J3" s="649" t="s">
        <v>5</v>
      </c>
      <c r="K3" s="670" t="s">
        <v>27</v>
      </c>
      <c r="L3" s="670"/>
      <c r="M3" s="670"/>
      <c r="N3" s="670"/>
      <c r="O3" s="670"/>
      <c r="P3" s="670"/>
      <c r="Q3" s="670"/>
      <c r="R3" s="9"/>
      <c r="S3" s="662" t="s">
        <v>60</v>
      </c>
      <c r="T3" s="663"/>
      <c r="U3" s="9"/>
      <c r="V3" s="9"/>
      <c r="W3" s="9"/>
      <c r="X3" s="9"/>
      <c r="Y3" s="9"/>
      <c r="Z3" s="9"/>
      <c r="AA3" s="9"/>
      <c r="AB3" s="9"/>
      <c r="AC3" s="9"/>
      <c r="AD3" s="9"/>
    </row>
    <row r="4" spans="1:30" ht="24" thickBot="1" x14ac:dyDescent="0.55000000000000004">
      <c r="A4" s="649"/>
      <c r="B4" s="649"/>
      <c r="C4" s="649"/>
      <c r="D4" s="680"/>
      <c r="E4" s="11" t="s">
        <v>1</v>
      </c>
      <c r="F4" s="11" t="s">
        <v>3</v>
      </c>
      <c r="G4" s="12" t="s">
        <v>2</v>
      </c>
      <c r="H4" s="649"/>
      <c r="I4" s="678"/>
      <c r="J4" s="649"/>
      <c r="K4" s="670"/>
      <c r="L4" s="670"/>
      <c r="M4" s="670"/>
      <c r="N4" s="670"/>
      <c r="O4" s="670"/>
      <c r="P4" s="670"/>
      <c r="Q4" s="670"/>
      <c r="R4" s="9"/>
      <c r="S4" s="664"/>
      <c r="T4" s="665"/>
      <c r="U4" s="9"/>
      <c r="V4" s="9"/>
      <c r="W4" s="9"/>
      <c r="X4" s="9"/>
      <c r="Y4" s="9"/>
      <c r="Z4" s="9"/>
      <c r="AA4" s="9"/>
      <c r="AB4" s="9"/>
      <c r="AC4" s="9"/>
      <c r="AD4" s="9"/>
    </row>
    <row r="5" spans="1:30" ht="31.15" customHeight="1" x14ac:dyDescent="0.5">
      <c r="A5" s="672" t="str">
        <f>กรอกคะแนน!C2</f>
        <v>องค์ประกอบที่ 1 การผลิตบัณฑิต</v>
      </c>
      <c r="B5" s="673"/>
      <c r="C5" s="673"/>
      <c r="D5" s="673"/>
      <c r="E5" s="673"/>
      <c r="F5" s="673"/>
      <c r="G5" s="673"/>
      <c r="H5" s="673"/>
      <c r="I5" s="673"/>
      <c r="J5" s="674"/>
      <c r="K5" s="671" t="s">
        <v>28</v>
      </c>
      <c r="L5" s="671"/>
      <c r="M5" s="671"/>
      <c r="N5" s="671"/>
      <c r="O5" s="671"/>
      <c r="P5" s="671"/>
      <c r="Q5" s="671"/>
      <c r="R5" s="9"/>
      <c r="S5" s="666" t="s">
        <v>59</v>
      </c>
      <c r="T5" s="667"/>
      <c r="U5" s="9"/>
      <c r="V5" s="9"/>
      <c r="W5" s="9"/>
      <c r="X5" s="9"/>
      <c r="Y5" s="9"/>
      <c r="Z5" s="9"/>
      <c r="AA5" s="9"/>
      <c r="AB5" s="9"/>
      <c r="AC5" s="9"/>
      <c r="AD5" s="9"/>
    </row>
    <row r="6" spans="1:30" ht="24" thickBot="1" x14ac:dyDescent="0.55000000000000004">
      <c r="A6" s="642" t="str">
        <f>กรอกคะแนน!C3</f>
        <v>ตัวบ่งชี้ที่ 1.1  ผลการบริหารจัดการหลักสูตรโดยรวม</v>
      </c>
      <c r="B6" s="643"/>
      <c r="C6" s="643"/>
      <c r="D6" s="13">
        <f>กรอกคะแนน!E3</f>
        <v>3.51</v>
      </c>
      <c r="E6" s="14">
        <f>IF(กรอกคะแนน!D8="","",กรอกคะแนน!D8)</f>
        <v>209.35</v>
      </c>
      <c r="F6" s="14">
        <f>IF(กรอกคะแนน!D9="","",กรอกคะแนน!D9)</f>
        <v>65</v>
      </c>
      <c r="G6" s="15">
        <f>IF(กรอกคะแนน!E4="","",กรอกคะแนน!E4)</f>
        <v>3.22</v>
      </c>
      <c r="H6" s="16" t="str">
        <f>IF(OR(D6="",D6=""),"",IF(D6&lt;=G6,"บรรลุ","ไม่บรรลุ"))</f>
        <v>ไม่บรรลุ</v>
      </c>
      <c r="I6" s="17">
        <f>IF(กรอกคะแนน!E5="","",กรอกคะแนน!E5)</f>
        <v>3.2207692307692306</v>
      </c>
      <c r="J6" s="18"/>
      <c r="K6" s="671"/>
      <c r="L6" s="671"/>
      <c r="M6" s="671"/>
      <c r="N6" s="671"/>
      <c r="O6" s="671"/>
      <c r="P6" s="671"/>
      <c r="Q6" s="671"/>
      <c r="R6" s="9"/>
      <c r="S6" s="668"/>
      <c r="T6" s="669"/>
      <c r="U6" s="9"/>
      <c r="V6" s="9"/>
      <c r="W6" s="9"/>
      <c r="X6" s="9"/>
      <c r="Y6" s="9"/>
      <c r="Z6" s="9"/>
      <c r="AA6" s="9"/>
      <c r="AB6" s="9"/>
      <c r="AC6" s="9"/>
      <c r="AD6" s="9"/>
    </row>
    <row r="7" spans="1:30" x14ac:dyDescent="0.5">
      <c r="A7" s="642" t="str">
        <f>กรอกคะแนน!C12</f>
        <v>ตัวบ่งชี้ที่ 1.2  อาจารย์ประจำสถาบันที่มีคุณวุฒิปริญญาเอก</v>
      </c>
      <c r="B7" s="643"/>
      <c r="C7" s="643"/>
      <c r="D7" s="19">
        <f>กรอกคะแนน!E12</f>
        <v>28.1</v>
      </c>
      <c r="E7" s="14">
        <f>IF(กรอกคะแนน!D18="","",กรอกคะแนน!D18)</f>
        <v>442.5</v>
      </c>
      <c r="F7" s="14">
        <f>IF(กรอกคะแนน!D17="","",กรอกคะแนน!D17)</f>
        <v>122</v>
      </c>
      <c r="G7" s="20">
        <f>IF(กรอกคะแนน!E13="","",กรอกคะแนน!E13)</f>
        <v>27.570621468926554</v>
      </c>
      <c r="H7" s="16" t="str">
        <f>IF(OR(D7="",D7=""),"",IF(D7&lt;=G7,"บรรลุ","ไม่บรรลุ"))</f>
        <v>ไม่บรรลุ</v>
      </c>
      <c r="I7" s="21">
        <f>IF(กรอกคะแนน!E14="","",กรอกคะแนน!E14)</f>
        <v>3.4463276836158192</v>
      </c>
      <c r="J7" s="22"/>
      <c r="K7" s="671"/>
      <c r="L7" s="671"/>
      <c r="M7" s="671"/>
      <c r="N7" s="671"/>
      <c r="O7" s="671"/>
      <c r="P7" s="671"/>
      <c r="Q7" s="671"/>
      <c r="R7" s="9"/>
      <c r="S7" s="9"/>
      <c r="T7" s="9"/>
      <c r="U7" s="9"/>
      <c r="V7" s="9"/>
      <c r="W7" s="9"/>
      <c r="X7" s="9"/>
      <c r="Y7" s="9"/>
      <c r="Z7" s="9"/>
      <c r="AA7" s="9"/>
      <c r="AB7" s="9"/>
      <c r="AC7" s="9"/>
      <c r="AD7" s="9"/>
    </row>
    <row r="8" spans="1:30" x14ac:dyDescent="0.5">
      <c r="A8" s="642" t="str">
        <f>กรอกคะแนน!C21</f>
        <v>ตัวบ่งชี้ที่ 1.3  อาจารย์ประจำสถาบันที่ดำรงตำแหน่งทางวิชาการ</v>
      </c>
      <c r="B8" s="643"/>
      <c r="C8" s="643"/>
      <c r="D8" s="19">
        <f>กรอกคะแนน!E21</f>
        <v>42.15</v>
      </c>
      <c r="E8" s="14">
        <f>IF(กรอกคะแนน!D27="","",กรอกคะแนน!D27)</f>
        <v>442.5</v>
      </c>
      <c r="F8" s="14">
        <f>IF(กรอกคะแนน!D26="","",กรอกคะแนน!D26)</f>
        <v>101.5</v>
      </c>
      <c r="G8" s="20">
        <f>IF(กรอกคะแนน!E22="","",กรอกคะแนน!E22)</f>
        <v>22.937853107344633</v>
      </c>
      <c r="H8" s="16" t="str">
        <f>IF(OR(D8="",D8=""),"",IF(D8&lt;=G8,"บรรลุ","ไม่บรรลุ"))</f>
        <v>ไม่บรรลุ</v>
      </c>
      <c r="I8" s="21">
        <f>IF(กรอกคะแนน!E23="","",กรอกคะแนน!E23)</f>
        <v>1.9114877589453863</v>
      </c>
      <c r="J8" s="22"/>
      <c r="K8" s="6"/>
      <c r="L8" s="6"/>
      <c r="M8" s="6"/>
      <c r="N8" s="6"/>
      <c r="O8" s="6"/>
      <c r="P8" s="6"/>
      <c r="Q8" s="6"/>
      <c r="R8" s="9"/>
      <c r="S8" s="9"/>
      <c r="T8" s="9"/>
      <c r="U8" s="9"/>
      <c r="V8" s="9"/>
      <c r="W8" s="9"/>
      <c r="X8" s="9"/>
      <c r="Y8" s="9"/>
      <c r="Z8" s="9"/>
      <c r="AA8" s="9"/>
      <c r="AB8" s="9"/>
      <c r="AC8" s="9"/>
      <c r="AD8" s="9"/>
    </row>
    <row r="9" spans="1:30" x14ac:dyDescent="0.5">
      <c r="A9" s="642" t="str">
        <f>กรอกคะแนน!C30</f>
        <v>ตัวบ่งชี้ที่ 1.4  การบริการนักศึกษาระดับปริญญาตรี</v>
      </c>
      <c r="B9" s="643"/>
      <c r="C9" s="643"/>
      <c r="D9" s="23">
        <f>กรอกคะแนน!E30</f>
        <v>6</v>
      </c>
      <c r="E9" s="624">
        <f>IF(กรอกคะแนน!E31="","",กรอกคะแนน!E31)</f>
        <v>6</v>
      </c>
      <c r="F9" s="625"/>
      <c r="G9" s="626"/>
      <c r="H9" s="16" t="str">
        <f>IF(OR(D9="",D9=""),"",IF(D9&lt;=E9,"บรรลุ","ไม่บรรลุ"))</f>
        <v>บรรลุ</v>
      </c>
      <c r="I9" s="17">
        <f>IF(กรอกคะแนน!E32="","",กรอกคะแนน!E32)</f>
        <v>5</v>
      </c>
      <c r="J9" s="22"/>
      <c r="K9" s="6"/>
      <c r="L9" s="6"/>
      <c r="M9" s="6"/>
      <c r="N9" s="6"/>
      <c r="O9" s="6"/>
      <c r="P9" s="6"/>
      <c r="Q9" s="6"/>
      <c r="R9" s="24"/>
      <c r="S9" s="24"/>
      <c r="T9" s="24"/>
      <c r="U9" s="24"/>
      <c r="V9" s="24"/>
      <c r="W9" s="9"/>
      <c r="X9" s="9"/>
      <c r="Y9" s="9"/>
      <c r="Z9" s="9"/>
      <c r="AA9" s="9"/>
      <c r="AB9" s="9"/>
      <c r="AC9" s="9"/>
      <c r="AD9" s="9"/>
    </row>
    <row r="10" spans="1:30" x14ac:dyDescent="0.5">
      <c r="A10" s="642" t="str">
        <f>กรอกคะแนน!C42</f>
        <v>ตัวบ่งชี้ที่ 1.5  กิจกรรมนักศึกษาระดับปริญญาตรี</v>
      </c>
      <c r="B10" s="643"/>
      <c r="C10" s="643"/>
      <c r="D10" s="23">
        <f>กรอกคะแนน!E42</f>
        <v>6</v>
      </c>
      <c r="E10" s="624">
        <f>IF(กรอกคะแนน!E43="","",กรอกคะแนน!E43)</f>
        <v>6</v>
      </c>
      <c r="F10" s="625"/>
      <c r="G10" s="626"/>
      <c r="H10" s="16" t="str">
        <f>IF(OR(D10="",D10=""),"",IF(D10&lt;=E10,"บรรลุ","ไม่บรรลุ"))</f>
        <v>บรรลุ</v>
      </c>
      <c r="I10" s="17">
        <f>IF(กรอกคะแนน!E44="","",กรอกคะแนน!E44)</f>
        <v>5</v>
      </c>
      <c r="J10" s="22"/>
      <c r="K10" s="6"/>
      <c r="L10" s="6"/>
      <c r="M10" s="6"/>
      <c r="N10" s="6"/>
      <c r="O10" s="6"/>
      <c r="P10" s="6"/>
      <c r="Q10" s="6"/>
      <c r="R10" s="24"/>
      <c r="S10" s="24"/>
      <c r="T10" s="24"/>
      <c r="U10" s="24"/>
      <c r="V10" s="24"/>
      <c r="W10" s="9"/>
      <c r="X10" s="9"/>
      <c r="Y10" s="9"/>
      <c r="Z10" s="9"/>
      <c r="AA10" s="9"/>
      <c r="AB10" s="9"/>
      <c r="AC10" s="9"/>
      <c r="AD10" s="9"/>
    </row>
    <row r="11" spans="1:30" x14ac:dyDescent="0.5">
      <c r="A11" s="631" t="s">
        <v>14</v>
      </c>
      <c r="B11" s="632"/>
      <c r="C11" s="632"/>
      <c r="D11" s="632"/>
      <c r="E11" s="632"/>
      <c r="F11" s="632"/>
      <c r="G11" s="633">
        <f>IF(COUNTBLANK(I6:I10)=5,"",AVERAGE(I6:I10))</f>
        <v>3.7157169346660872</v>
      </c>
      <c r="H11" s="634"/>
      <c r="I11" s="635"/>
      <c r="J11" s="25" t="str">
        <f>IF(G11="","",IF(G11&lt;=1.5,"ต้องปรับปรุงเร่งด่วน",IF(G11&lt;=2.5,"ต้องปรับปรุง",IF(G11&lt;=3.5,"พอใช้",IF(G11&lt;=4.5,"ดี",IF(G11&lt;=5,"ดีมาก",""))))))</f>
        <v>ดี</v>
      </c>
      <c r="K11" s="6"/>
      <c r="L11" s="6"/>
      <c r="M11" s="6"/>
      <c r="N11" s="6"/>
      <c r="O11" s="26"/>
      <c r="P11" s="6"/>
      <c r="Q11" s="6"/>
      <c r="R11" s="24"/>
      <c r="S11" s="24"/>
      <c r="T11" s="24"/>
      <c r="U11" s="24"/>
      <c r="V11" s="24"/>
      <c r="W11" s="9"/>
      <c r="X11" s="9"/>
      <c r="Y11" s="9"/>
      <c r="Z11" s="9"/>
      <c r="AA11" s="9"/>
      <c r="AB11" s="9"/>
      <c r="AC11" s="9"/>
      <c r="AD11" s="9"/>
    </row>
    <row r="12" spans="1:30" ht="31.15" customHeight="1" x14ac:dyDescent="0.5">
      <c r="A12" s="636" t="str">
        <f>กรอกคะแนน!C53</f>
        <v>องค์ประกอบที่ 2 การวิจัย</v>
      </c>
      <c r="B12" s="637"/>
      <c r="C12" s="637"/>
      <c r="D12" s="27"/>
      <c r="E12" s="28"/>
      <c r="F12" s="28"/>
      <c r="G12" s="28"/>
      <c r="H12" s="28"/>
      <c r="I12" s="28"/>
      <c r="J12" s="29"/>
      <c r="K12" s="6"/>
      <c r="L12" s="6"/>
      <c r="M12" s="6"/>
      <c r="N12" s="6"/>
      <c r="O12" s="6"/>
      <c r="P12" s="6"/>
      <c r="Q12" s="6"/>
      <c r="R12" s="24"/>
      <c r="S12" s="24"/>
      <c r="T12" s="24"/>
      <c r="U12" s="24"/>
      <c r="V12" s="24"/>
      <c r="W12" s="9"/>
      <c r="X12" s="9"/>
      <c r="Y12" s="9"/>
      <c r="Z12" s="9"/>
      <c r="AA12" s="9"/>
      <c r="AB12" s="9"/>
      <c r="AC12" s="9"/>
      <c r="AD12" s="9"/>
    </row>
    <row r="13" spans="1:30" x14ac:dyDescent="0.5">
      <c r="A13" s="642" t="str">
        <f>กรอกคะแนน!C54</f>
        <v>ตัวบ่งชี้ที่ 2.1  ระบบและกลไกการบริหารและพัฒนางานวิจัยหรืองานสร้างสรรค์</v>
      </c>
      <c r="B13" s="643"/>
      <c r="C13" s="643"/>
      <c r="D13" s="23">
        <f>กรอกคะแนน!E54</f>
        <v>6</v>
      </c>
      <c r="E13" s="624">
        <f>IF(กรอกคะแนน!E55="","",กรอกคะแนน!E55)</f>
        <v>6</v>
      </c>
      <c r="F13" s="625"/>
      <c r="G13" s="626"/>
      <c r="H13" s="16" t="str">
        <f>IF(OR(D13="",D13=""),"",IF(D13&lt;=E13,"บรรลุ","ไม่บรรลุ"))</f>
        <v>บรรลุ</v>
      </c>
      <c r="I13" s="17">
        <f>IF(กรอกคะแนน!E56="","",กรอกคะแนน!E56)</f>
        <v>5</v>
      </c>
      <c r="J13" s="22"/>
      <c r="K13" s="6"/>
      <c r="L13" s="6"/>
      <c r="M13" s="6"/>
      <c r="N13" s="6"/>
      <c r="O13" s="6"/>
      <c r="P13" s="6"/>
      <c r="Q13" s="6"/>
      <c r="R13" s="24"/>
      <c r="S13" s="24"/>
      <c r="T13" s="24"/>
      <c r="U13" s="24"/>
      <c r="V13" s="24"/>
      <c r="W13" s="9"/>
      <c r="X13" s="9"/>
      <c r="Y13" s="9"/>
      <c r="Z13" s="9"/>
      <c r="AA13" s="9"/>
      <c r="AB13" s="9"/>
      <c r="AC13" s="9"/>
      <c r="AD13" s="9"/>
    </row>
    <row r="14" spans="1:30" x14ac:dyDescent="0.5">
      <c r="A14" s="642" t="str">
        <f>กรอกคะแนน!C66</f>
        <v>ตัวบ่งชี้ที่ 2.2  เงินสนับสนุนงานวิจัยและงานสร้างสรรค์</v>
      </c>
      <c r="B14" s="643"/>
      <c r="C14" s="643"/>
      <c r="D14" s="13">
        <f>กรอกคะแนน!E66</f>
        <v>4.51</v>
      </c>
      <c r="E14" s="14">
        <f>IF(กรอกคะแนน!D71="","",กรอกคะแนน!D71)</f>
        <v>45</v>
      </c>
      <c r="F14" s="14">
        <f>IF(กรอกคะแนน!D72="","",กรอกคะแนน!D72)</f>
        <v>9</v>
      </c>
      <c r="G14" s="15">
        <f>IF(กรอกคะแนน!E67="","",กรอกคะแนน!E67)</f>
        <v>5</v>
      </c>
      <c r="H14" s="16" t="str">
        <f t="shared" ref="H14" si="0">IF(OR(D14="",D14=""),"",IF(D14&lt;=G14,"บรรลุ","ไม่บรรลุ"))</f>
        <v>บรรลุ</v>
      </c>
      <c r="I14" s="21">
        <f>IF(กรอกคะแนน!E68="","",กรอกคะแนน!E68)</f>
        <v>5</v>
      </c>
      <c r="J14" s="22"/>
      <c r="K14" s="6"/>
      <c r="L14" s="6"/>
      <c r="M14" s="6"/>
      <c r="N14" s="6"/>
      <c r="O14" s="6"/>
      <c r="P14" s="6"/>
      <c r="Q14" s="6"/>
      <c r="R14" s="24"/>
      <c r="S14" s="24"/>
      <c r="T14" s="24"/>
      <c r="U14" s="24"/>
      <c r="V14" s="24"/>
      <c r="W14" s="9"/>
      <c r="X14" s="9"/>
      <c r="Y14" s="9"/>
      <c r="Z14" s="9"/>
      <c r="AA14" s="9"/>
      <c r="AB14" s="9"/>
      <c r="AC14" s="9"/>
      <c r="AD14" s="9"/>
    </row>
    <row r="15" spans="1:30" x14ac:dyDescent="0.5">
      <c r="A15" s="642" t="str">
        <f>กรอกคะแนน!C76</f>
        <v>ตัวบ่งชี้ที่ 2.3  ผลงานทางวิชาการของอาจารย์ประจำและนักวิจัย</v>
      </c>
      <c r="B15" s="643"/>
      <c r="C15" s="643"/>
      <c r="D15" s="13">
        <f>กรอกคะแนน!E76</f>
        <v>4.6500000000000004</v>
      </c>
      <c r="E15" s="14">
        <f>IF(กรอกคะแนน!D81="","",กรอกคะแนน!D81)</f>
        <v>43.33</v>
      </c>
      <c r="F15" s="14">
        <f>IF(กรอกคะแนน!D82="","",กรอกคะแนน!D82)</f>
        <v>9</v>
      </c>
      <c r="G15" s="15">
        <f>IF(กรอกคะแนน!E77="","",กรอกคะแนน!E77)</f>
        <v>4.8144444444444439</v>
      </c>
      <c r="H15" s="16" t="str">
        <f t="shared" ref="H15" si="1">IF(OR(D15="",D15=""),"",IF(D15&lt;=G15,"บรรลุ","ไม่บรรลุ"))</f>
        <v>บรรลุ</v>
      </c>
      <c r="I15" s="21">
        <f>IF(กรอกคะแนน!E78="","",กรอกคะแนน!E78)</f>
        <v>4.8144444444444439</v>
      </c>
      <c r="J15" s="22"/>
      <c r="K15" s="6"/>
      <c r="L15" s="6"/>
      <c r="M15" s="6"/>
      <c r="N15" s="6"/>
      <c r="O15" s="6"/>
      <c r="P15" s="6"/>
      <c r="Q15" s="6"/>
      <c r="R15" s="24"/>
      <c r="S15" s="24"/>
      <c r="T15" s="24"/>
      <c r="U15" s="24"/>
      <c r="V15" s="24"/>
      <c r="W15" s="9"/>
      <c r="X15" s="9"/>
      <c r="Y15" s="9"/>
      <c r="Z15" s="9"/>
      <c r="AA15" s="9"/>
      <c r="AB15" s="9"/>
      <c r="AC15" s="9"/>
      <c r="AD15" s="9"/>
    </row>
    <row r="16" spans="1:30" x14ac:dyDescent="0.5">
      <c r="A16" s="631" t="s">
        <v>13</v>
      </c>
      <c r="B16" s="632"/>
      <c r="C16" s="632"/>
      <c r="D16" s="632"/>
      <c r="E16" s="632"/>
      <c r="F16" s="632"/>
      <c r="G16" s="633">
        <f>IF(COUNTBLANK(I13:I15)=3,"",AVERAGE(I13:I15))</f>
        <v>4.938148148148148</v>
      </c>
      <c r="H16" s="634"/>
      <c r="I16" s="635"/>
      <c r="J16" s="25" t="str">
        <f>IF(G16="","",IF(G16&lt;=1.5,"ต้องปรับปรุงเร่งด่วน",IF(G16&lt;=2.5,"ต้องปรับปรุง",IF(G16&lt;=3.5,"พอใช้",IF(G16&lt;=4.5,"ดี",IF(G16&lt;=5,"ดีมาก",""))))))</f>
        <v>ดีมาก</v>
      </c>
      <c r="K16" s="6"/>
      <c r="L16" s="6"/>
      <c r="M16" s="6"/>
      <c r="N16" s="6"/>
      <c r="O16" s="6"/>
      <c r="P16" s="6"/>
      <c r="Q16" s="6"/>
      <c r="R16" s="24"/>
      <c r="S16" s="24"/>
      <c r="T16" s="24"/>
      <c r="U16" s="24"/>
      <c r="V16" s="24"/>
      <c r="W16" s="9"/>
      <c r="X16" s="9"/>
      <c r="Y16" s="9"/>
      <c r="Z16" s="9"/>
      <c r="AA16" s="9"/>
      <c r="AB16" s="9"/>
      <c r="AC16" s="9"/>
      <c r="AD16" s="9"/>
    </row>
    <row r="17" spans="1:43" ht="29.45" customHeight="1" x14ac:dyDescent="0.5">
      <c r="A17" s="636" t="str">
        <f>กรอกคะแนน!C84</f>
        <v>องค์ประกอบที่ 3 การบริการวิชาการ</v>
      </c>
      <c r="B17" s="637"/>
      <c r="C17" s="637"/>
      <c r="D17" s="27"/>
      <c r="E17" s="28"/>
      <c r="F17" s="28"/>
      <c r="G17" s="28"/>
      <c r="H17" s="28"/>
      <c r="I17" s="28"/>
      <c r="J17" s="29"/>
      <c r="K17" s="6"/>
      <c r="L17" s="6"/>
      <c r="M17" s="6"/>
      <c r="N17" s="6"/>
      <c r="O17" s="6"/>
      <c r="P17" s="6"/>
      <c r="Q17" s="6"/>
      <c r="R17" s="24"/>
      <c r="S17" s="24"/>
      <c r="T17" s="24"/>
      <c r="U17" s="24"/>
      <c r="V17" s="24"/>
      <c r="W17" s="9"/>
      <c r="X17" s="9"/>
      <c r="Y17" s="9"/>
      <c r="Z17" s="9"/>
      <c r="AA17" s="9"/>
      <c r="AB17" s="9"/>
      <c r="AC17" s="9"/>
      <c r="AD17" s="9"/>
    </row>
    <row r="18" spans="1:43" x14ac:dyDescent="0.5">
      <c r="A18" s="660" t="str">
        <f>กรอกคะแนน!C85</f>
        <v>ตัวบ่งชี้ที่ 3.1  การบริการวิชาการแก่สังคม</v>
      </c>
      <c r="B18" s="660"/>
      <c r="C18" s="660"/>
      <c r="D18" s="23">
        <f>กรอกคะแนน!E85</f>
        <v>6</v>
      </c>
      <c r="E18" s="624">
        <f>IF(กรอกคะแนน!E86="","",กรอกคะแนน!E86)</f>
        <v>6</v>
      </c>
      <c r="F18" s="625"/>
      <c r="G18" s="626"/>
      <c r="H18" s="16" t="str">
        <f t="shared" ref="H18" si="2">IF(OR(D18="",D18=""),"",IF(D18&lt;=E18,"บรรลุ","ไม่บรรลุ"))</f>
        <v>บรรลุ</v>
      </c>
      <c r="I18" s="17">
        <f>IF(กรอกคะแนน!E87="","",กรอกคะแนน!E87)</f>
        <v>5</v>
      </c>
      <c r="J18" s="30"/>
      <c r="K18" s="31"/>
      <c r="L18" s="31"/>
      <c r="M18" s="6"/>
      <c r="N18" s="6"/>
      <c r="O18" s="6"/>
      <c r="P18" s="6"/>
      <c r="Q18" s="6"/>
      <c r="R18" s="24"/>
      <c r="S18" s="24"/>
      <c r="T18" s="24"/>
      <c r="U18" s="24"/>
      <c r="V18" s="24"/>
      <c r="W18" s="9"/>
      <c r="X18" s="9"/>
      <c r="Y18" s="9"/>
      <c r="Z18" s="9"/>
      <c r="AA18" s="9"/>
      <c r="AB18" s="9"/>
      <c r="AC18" s="9"/>
      <c r="AD18" s="9"/>
    </row>
    <row r="19" spans="1:43" x14ac:dyDescent="0.5">
      <c r="A19" s="631" t="s">
        <v>12</v>
      </c>
      <c r="B19" s="632"/>
      <c r="C19" s="632"/>
      <c r="D19" s="632"/>
      <c r="E19" s="632"/>
      <c r="F19" s="632"/>
      <c r="G19" s="633">
        <f>IF(COUNTBLANK(I18)=1,"",AVERAGE(I18))</f>
        <v>5</v>
      </c>
      <c r="H19" s="634"/>
      <c r="I19" s="635"/>
      <c r="J19" s="25" t="str">
        <f>IF(G19="","",IF(G19&lt;=1.5,"ต้องปรับปรุงเร่งด่วน",IF(G19&lt;=2.5,"ต้องปรับปรุง",IF(G19&lt;=3.5,"พอใช้",IF(G19&lt;=4.5,"ดี",IF(G19&lt;=5,"ดีมาก",""))))))</f>
        <v>ดีมาก</v>
      </c>
      <c r="K19" s="6"/>
      <c r="L19" s="6"/>
      <c r="M19" s="6"/>
      <c r="N19" s="6"/>
      <c r="O19" s="6"/>
      <c r="P19" s="6"/>
      <c r="Q19" s="6"/>
      <c r="R19" s="24"/>
      <c r="S19" s="24"/>
      <c r="T19" s="24"/>
      <c r="U19" s="24"/>
      <c r="V19" s="24"/>
      <c r="W19" s="9"/>
      <c r="X19" s="9"/>
      <c r="Y19" s="9"/>
      <c r="Z19" s="9"/>
      <c r="AA19" s="9"/>
      <c r="AB19" s="9"/>
      <c r="AC19" s="9"/>
      <c r="AD19" s="9"/>
    </row>
    <row r="20" spans="1:43" ht="29.45" customHeight="1" x14ac:dyDescent="0.5">
      <c r="A20" s="636" t="str">
        <f>กรอกคะแนน!C96</f>
        <v>องค์ประกอบที่ 4 การทำนุบำรุงศิลปะและวัฒนธรรม</v>
      </c>
      <c r="B20" s="637"/>
      <c r="C20" s="637"/>
      <c r="D20" s="27"/>
      <c r="E20" s="32"/>
      <c r="F20" s="32"/>
      <c r="G20" s="28"/>
      <c r="H20" s="28"/>
      <c r="I20" s="28"/>
      <c r="J20" s="29"/>
      <c r="K20" s="6"/>
      <c r="L20" s="6"/>
      <c r="M20" s="6"/>
      <c r="N20" s="6"/>
      <c r="O20" s="6"/>
      <c r="P20" s="6"/>
      <c r="Q20" s="6"/>
      <c r="R20" s="24"/>
      <c r="S20" s="24"/>
      <c r="T20" s="24"/>
      <c r="U20" s="24"/>
      <c r="V20" s="24"/>
      <c r="W20" s="9"/>
      <c r="X20" s="9"/>
      <c r="Y20" s="9"/>
      <c r="Z20" s="9"/>
      <c r="AA20" s="9"/>
      <c r="AB20" s="9"/>
      <c r="AC20" s="9"/>
      <c r="AD20" s="9"/>
    </row>
    <row r="21" spans="1:43" x14ac:dyDescent="0.5">
      <c r="A21" s="660" t="str">
        <f>กรอกคะแนน!C97</f>
        <v>ตัวบ่งชี้ที่ 4.1  ระบบและกลไกการทำนุบำรุงศิลปะและวัฒนธรรม</v>
      </c>
      <c r="B21" s="660"/>
      <c r="C21" s="660"/>
      <c r="D21" s="23">
        <f>กรอกคะแนน!E97</f>
        <v>6</v>
      </c>
      <c r="E21" s="624">
        <f>IF(กรอกคะแนน!E98="","",กรอกคะแนน!E98)</f>
        <v>6</v>
      </c>
      <c r="F21" s="625"/>
      <c r="G21" s="626"/>
      <c r="H21" s="16" t="str">
        <f t="shared" ref="H21" si="3">IF(OR(D21="",D21=""),"",IF(D21&lt;=E21,"บรรลุ","ไม่บรรลุ"))</f>
        <v>บรรลุ</v>
      </c>
      <c r="I21" s="17">
        <f>IF(กรอกคะแนน!E99="","",กรอกคะแนน!E99)</f>
        <v>5</v>
      </c>
      <c r="J21" s="30"/>
      <c r="K21" s="31"/>
      <c r="L21" s="31"/>
      <c r="M21" s="6"/>
      <c r="N21" s="6"/>
      <c r="O21" s="6"/>
      <c r="P21" s="6"/>
      <c r="Q21" s="6"/>
      <c r="R21" s="24"/>
      <c r="S21" s="24"/>
      <c r="T21" s="24"/>
      <c r="U21" s="24"/>
      <c r="V21" s="24"/>
      <c r="W21" s="9"/>
      <c r="X21" s="9"/>
      <c r="Y21" s="9"/>
      <c r="Z21" s="9"/>
      <c r="AA21" s="9"/>
      <c r="AB21" s="9"/>
      <c r="AC21" s="9"/>
      <c r="AD21" s="9"/>
    </row>
    <row r="22" spans="1:43" x14ac:dyDescent="0.5">
      <c r="A22" s="631" t="s">
        <v>11</v>
      </c>
      <c r="B22" s="632"/>
      <c r="C22" s="632"/>
      <c r="D22" s="632"/>
      <c r="E22" s="632"/>
      <c r="F22" s="632"/>
      <c r="G22" s="633">
        <f>IF(COUNTBLANK(I21)=1,"",AVERAGE(I21))</f>
        <v>5</v>
      </c>
      <c r="H22" s="634"/>
      <c r="I22" s="635"/>
      <c r="J22" s="25" t="str">
        <f>IF(G22="","",IF(G22&lt;=1.5,"ต้องปรับปรุงเร่งด่วน",IF(G22&lt;=2.5,"ต้องปรับปรุง",IF(G22&lt;=3.5,"พอใช้",IF(G22&lt;=4.5,"ดี",IF(G22&lt;=5,"ดีมาก",""))))))</f>
        <v>ดีมาก</v>
      </c>
      <c r="K22" s="6"/>
      <c r="L22" s="6"/>
      <c r="M22" s="6"/>
      <c r="N22" s="6"/>
      <c r="O22" s="6"/>
      <c r="P22" s="6"/>
      <c r="Q22" s="6"/>
      <c r="R22" s="24"/>
      <c r="S22" s="24"/>
      <c r="T22" s="24"/>
      <c r="U22" s="24"/>
      <c r="V22" s="24"/>
      <c r="W22" s="9"/>
      <c r="X22" s="9"/>
      <c r="Y22" s="9"/>
      <c r="Z22" s="9"/>
      <c r="AA22" s="9"/>
      <c r="AB22" s="9"/>
      <c r="AC22" s="9"/>
      <c r="AD22" s="9"/>
    </row>
    <row r="23" spans="1:43" ht="29.45" customHeight="1" x14ac:dyDescent="0.5">
      <c r="A23" s="636" t="str">
        <f>กรอกคะแนน!C109</f>
        <v>องค์ประกอบที่ 5 การบริหารจัดการ</v>
      </c>
      <c r="B23" s="637"/>
      <c r="C23" s="637"/>
      <c r="D23" s="637"/>
      <c r="E23" s="637"/>
      <c r="F23" s="637"/>
      <c r="G23" s="637"/>
      <c r="H23" s="637"/>
      <c r="I23" s="637"/>
      <c r="J23" s="659"/>
      <c r="K23" s="6"/>
      <c r="L23" s="6"/>
      <c r="M23" s="6"/>
      <c r="N23" s="6"/>
      <c r="O23" s="6"/>
      <c r="P23" s="6"/>
      <c r="Q23" s="6"/>
      <c r="R23" s="24"/>
      <c r="S23" s="24"/>
      <c r="T23" s="24"/>
      <c r="U23" s="24"/>
      <c r="V23" s="24"/>
      <c r="W23" s="9"/>
      <c r="X23" s="9"/>
      <c r="Y23" s="9"/>
      <c r="Z23" s="9"/>
      <c r="AA23" s="9"/>
      <c r="AB23" s="9"/>
      <c r="AC23" s="9"/>
      <c r="AD23" s="9"/>
    </row>
    <row r="24" spans="1:43" ht="43.15" customHeight="1" x14ac:dyDescent="0.5">
      <c r="A24" s="661" t="str">
        <f>กรอกคะแนน!C110</f>
        <v>ตัวบ่งชี้ที่ 5.1  การบริหารของสถาบันเพื่อการกำกับติดตามผลลัพธ์ตามพันธกิจ กลุ่มสถาบันและเอกลักษณ์ ของสถาบัน</v>
      </c>
      <c r="B24" s="661"/>
      <c r="C24" s="661"/>
      <c r="D24" s="23">
        <f>กรอกคะแนน!E110</f>
        <v>7</v>
      </c>
      <c r="E24" s="624">
        <f>IF(กรอกคะแนน!E111="","",กรอกคะแนน!E111)</f>
        <v>7</v>
      </c>
      <c r="F24" s="625"/>
      <c r="G24" s="626"/>
      <c r="H24" s="16" t="str">
        <f t="shared" ref="H24:H26" si="4">IF(OR(D24="",D24=""),"",IF(D24&lt;=E24,"บรรลุ","ไม่บรรลุ"))</f>
        <v>บรรลุ</v>
      </c>
      <c r="I24" s="17">
        <f>IF(กรอกคะแนน!E112="","",กรอกคะแนน!E112)</f>
        <v>5</v>
      </c>
      <c r="J24" s="33"/>
      <c r="K24" s="6"/>
      <c r="L24" s="6"/>
      <c r="M24" s="6"/>
      <c r="N24" s="6"/>
      <c r="O24" s="6"/>
      <c r="P24" s="6"/>
      <c r="Q24" s="6"/>
      <c r="R24" s="24"/>
      <c r="S24" s="24"/>
      <c r="T24" s="24"/>
      <c r="U24" s="24"/>
      <c r="V24" s="24"/>
      <c r="W24" s="9"/>
      <c r="X24" s="9"/>
      <c r="Y24" s="9"/>
      <c r="Z24" s="9"/>
      <c r="AA24" s="9"/>
      <c r="AB24" s="9"/>
      <c r="AC24" s="9"/>
      <c r="AD24" s="9"/>
    </row>
    <row r="25" spans="1:43" x14ac:dyDescent="0.5">
      <c r="A25" s="660" t="str">
        <f>กรอกคะแนน!C122</f>
        <v xml:space="preserve">ตัวบ่งชี้ที่ 5.2  ผลการบริหารงานของคณะ   </v>
      </c>
      <c r="B25" s="660"/>
      <c r="C25" s="660"/>
      <c r="D25" s="13">
        <f>กรอกคะแนน!E122</f>
        <v>4.45</v>
      </c>
      <c r="E25" s="627">
        <f>IF(กรอกคะแนน!E123="","",กรอกคะแนน!E123)</f>
        <v>4.3337500000000002</v>
      </c>
      <c r="F25" s="628"/>
      <c r="G25" s="629"/>
      <c r="H25" s="16" t="str">
        <f>IF(OR(D25="",D25=""),"",IF(D25&lt;=E25,"บรรลุ","ไม่บรรลุ"))</f>
        <v>ไม่บรรลุ</v>
      </c>
      <c r="I25" s="17">
        <f>IF(กรอกคะแนน!E124="","",กรอกคะแนน!E124)</f>
        <v>4.3337500000000002</v>
      </c>
      <c r="J25" s="34"/>
      <c r="K25" s="31"/>
      <c r="L25" s="31"/>
      <c r="M25" s="6"/>
      <c r="N25" s="6"/>
      <c r="O25" s="6"/>
      <c r="P25" s="6"/>
      <c r="Q25" s="6"/>
      <c r="R25" s="24"/>
      <c r="S25" s="24"/>
      <c r="T25" s="24"/>
      <c r="U25" s="24"/>
      <c r="V25" s="24"/>
      <c r="W25" s="9"/>
      <c r="X25" s="9"/>
      <c r="Y25" s="9"/>
      <c r="Z25" s="9"/>
      <c r="AA25" s="9"/>
      <c r="AB25" s="9"/>
      <c r="AC25" s="9"/>
      <c r="AD25" s="9"/>
    </row>
    <row r="26" spans="1:43" x14ac:dyDescent="0.5">
      <c r="A26" s="660" t="str">
        <f>กรอกคะแนน!C132</f>
        <v xml:space="preserve">ตัวบ่งชี้ที่ 5.3  ระบบกำกับการประกันคุณภาพหลักสูตรและคณะ  </v>
      </c>
      <c r="B26" s="660"/>
      <c r="C26" s="660"/>
      <c r="D26" s="23">
        <f>กรอกคะแนน!E132</f>
        <v>6</v>
      </c>
      <c r="E26" s="624">
        <f>IF(กรอกคะแนน!E133="","",กรอกคะแนน!E133)</f>
        <v>6</v>
      </c>
      <c r="F26" s="625"/>
      <c r="G26" s="626"/>
      <c r="H26" s="16" t="str">
        <f t="shared" si="4"/>
        <v>บรรลุ</v>
      </c>
      <c r="I26" s="17">
        <f>IF(กรอกคะแนน!E134="","",กรอกคะแนน!E134)</f>
        <v>5</v>
      </c>
      <c r="J26" s="34"/>
      <c r="K26" s="31"/>
      <c r="L26" s="31"/>
      <c r="M26" s="6"/>
      <c r="N26" s="6"/>
      <c r="O26" s="6"/>
      <c r="P26" s="6"/>
      <c r="Q26" s="6"/>
      <c r="R26" s="24"/>
      <c r="S26" s="24"/>
      <c r="T26" s="24"/>
      <c r="U26" s="24"/>
      <c r="V26" s="24"/>
      <c r="W26" s="9"/>
      <c r="X26" s="9"/>
      <c r="Y26" s="9"/>
      <c r="Z26" s="9"/>
      <c r="AA26" s="9"/>
      <c r="AB26" s="9"/>
      <c r="AC26" s="9"/>
      <c r="AD26" s="9"/>
    </row>
    <row r="27" spans="1:43" x14ac:dyDescent="0.5">
      <c r="A27" s="655" t="s">
        <v>10</v>
      </c>
      <c r="B27" s="656"/>
      <c r="C27" s="656"/>
      <c r="D27" s="656"/>
      <c r="E27" s="656"/>
      <c r="F27" s="656"/>
      <c r="G27" s="657">
        <f>IF(COUNTBLANK(I24:I26)=3,"",AVERAGE(I24:I26))</f>
        <v>4.777916666666667</v>
      </c>
      <c r="H27" s="658"/>
      <c r="I27" s="635"/>
      <c r="J27" s="25" t="str">
        <f>IF(G27="","",IF(G27&lt;=1.5,"ต้องปรับปรุงเร่งด่วน",IF(G27&lt;=2.5,"ต้องปรับปรุง",IF(G27&lt;=3.5,"พอใช้",IF(G27&lt;=4.5,"ดี",IF(G27&lt;=5,"ดีมาก",""))))))</f>
        <v>ดีมาก</v>
      </c>
      <c r="K27" s="6"/>
      <c r="L27" s="6"/>
      <c r="M27" s="6"/>
      <c r="N27" s="6"/>
      <c r="O27" s="6"/>
      <c r="P27" s="6"/>
      <c r="Q27" s="6"/>
      <c r="R27" s="24"/>
      <c r="S27" s="24"/>
      <c r="T27" s="24"/>
      <c r="U27" s="24"/>
      <c r="V27" s="24"/>
      <c r="W27" s="9"/>
      <c r="X27" s="9"/>
      <c r="Y27" s="9"/>
      <c r="Z27" s="9"/>
      <c r="AA27" s="9"/>
      <c r="AB27" s="9"/>
      <c r="AC27" s="9"/>
      <c r="AD27" s="9"/>
    </row>
    <row r="28" spans="1:43" ht="29.25" x14ac:dyDescent="0.5">
      <c r="A28" s="652" t="s">
        <v>16</v>
      </c>
      <c r="B28" s="653"/>
      <c r="C28" s="653"/>
      <c r="D28" s="653"/>
      <c r="E28" s="653"/>
      <c r="F28" s="653"/>
      <c r="G28" s="121">
        <f>IF(COUNTBLANK(I6:I10)+COUNTBLANK(I13:I15)+COUNTBLANK(I18)+COUNTBLANK(I21)+COUNTBLANK(I24:I26)=13,"",SUM(I6:I10,I13:I15,I18,I21,I24:I26))</f>
        <v>57.726779117774882</v>
      </c>
      <c r="H28" s="35"/>
      <c r="I28" s="638">
        <f>IF(G28="",,IF(OR(ISBLANK(G28),ISBLANK(G29)),"",IF(ISERROR(G28/G29),"",G28/G29)))</f>
        <v>4.4405214705980676</v>
      </c>
      <c r="J28" s="640" t="str">
        <f>IF(I28="","",IF(I28&lt;=1.5,"ต้องปรับปรุงเร่งด่วน",IF(I28&lt;=2.5,"ต้องปรับปรุง",IF(I28&lt;=3.5,"พอใช้",IF(I28&lt;=4.5,"ดี",IF(I28&lt;=5,"ดีมาก",""))))))</f>
        <v>ดี</v>
      </c>
      <c r="K28" s="6"/>
      <c r="L28" s="6"/>
      <c r="M28" s="6"/>
      <c r="N28" s="6"/>
      <c r="O28" s="6"/>
      <c r="P28" s="6"/>
      <c r="Q28" s="6"/>
      <c r="R28" s="24"/>
      <c r="S28" s="24"/>
      <c r="T28" s="24"/>
      <c r="U28" s="24"/>
      <c r="V28" s="24"/>
      <c r="W28" s="9"/>
      <c r="X28" s="9"/>
      <c r="Y28" s="9"/>
      <c r="Z28" s="9"/>
      <c r="AA28" s="9"/>
      <c r="AB28" s="9"/>
      <c r="AC28" s="9"/>
      <c r="AD28" s="9"/>
    </row>
    <row r="29" spans="1:43" ht="21" customHeight="1" x14ac:dyDescent="0.5">
      <c r="A29" s="654"/>
      <c r="B29" s="613"/>
      <c r="C29" s="613"/>
      <c r="D29" s="613"/>
      <c r="E29" s="613"/>
      <c r="F29" s="613"/>
      <c r="G29" s="122">
        <f>IF(COUNTBLANK(I6:I10)+COUNTBLANK(I13:I15)+COUNTBLANK(I18)+COUNTBLANK(I21)+COUNTBLANK(I24:I26)=13,"",COUNT(I6:I10,I13:I15,I18,I21,I24:I26))</f>
        <v>13</v>
      </c>
      <c r="H29" s="36"/>
      <c r="I29" s="639"/>
      <c r="J29" s="641"/>
      <c r="K29" s="6"/>
      <c r="L29" s="6"/>
      <c r="M29" s="6"/>
      <c r="N29" s="6"/>
      <c r="O29" s="6"/>
      <c r="P29" s="6"/>
      <c r="Q29" s="6"/>
      <c r="R29" s="24"/>
      <c r="S29" s="24"/>
      <c r="T29" s="24"/>
      <c r="U29" s="24"/>
      <c r="V29" s="24"/>
      <c r="W29" s="9"/>
      <c r="X29" s="9"/>
      <c r="Y29" s="9"/>
      <c r="Z29" s="9"/>
      <c r="AA29" s="9"/>
      <c r="AB29" s="9"/>
      <c r="AC29" s="9"/>
      <c r="AD29" s="9"/>
    </row>
    <row r="30" spans="1:43" x14ac:dyDescent="0.5">
      <c r="A30" s="7"/>
      <c r="B30" s="7"/>
      <c r="C30" s="7"/>
      <c r="D30" s="7"/>
      <c r="E30" s="7"/>
      <c r="F30" s="7"/>
      <c r="G30" s="7"/>
      <c r="H30" s="7"/>
      <c r="I30" s="621"/>
      <c r="J30" s="621"/>
      <c r="K30" s="6"/>
      <c r="L30" s="24"/>
      <c r="M30" s="24"/>
      <c r="N30" s="24"/>
      <c r="O30" s="24"/>
      <c r="P30" s="24"/>
      <c r="Q30" s="24"/>
      <c r="R30" s="24"/>
      <c r="S30" s="24"/>
      <c r="T30" s="24"/>
      <c r="U30" s="24"/>
      <c r="V30" s="24"/>
      <c r="W30" s="9"/>
      <c r="X30" s="9"/>
      <c r="Y30" s="9"/>
      <c r="Z30" s="9"/>
      <c r="AA30" s="9"/>
      <c r="AB30" s="9"/>
      <c r="AC30" s="9"/>
      <c r="AD30" s="9"/>
      <c r="AE30" s="9"/>
      <c r="AF30" s="9"/>
      <c r="AG30" s="9"/>
      <c r="AH30" s="9"/>
      <c r="AI30" s="9"/>
      <c r="AJ30" s="9"/>
      <c r="AK30" s="9"/>
      <c r="AL30" s="9"/>
      <c r="AM30" s="9"/>
      <c r="AN30" s="9"/>
      <c r="AO30" s="9"/>
      <c r="AP30" s="9"/>
      <c r="AQ30" s="9"/>
    </row>
    <row r="31" spans="1:43" x14ac:dyDescent="0.5">
      <c r="A31" s="7"/>
      <c r="B31" s="7"/>
      <c r="C31" s="7"/>
      <c r="D31" s="7"/>
      <c r="E31" s="7"/>
      <c r="F31" s="7"/>
      <c r="G31" s="7"/>
      <c r="H31" s="7"/>
      <c r="I31" s="622"/>
      <c r="J31" s="622"/>
      <c r="K31" s="6"/>
      <c r="L31" s="24"/>
      <c r="M31" s="24"/>
      <c r="N31" s="24"/>
      <c r="O31" s="24"/>
      <c r="P31" s="24"/>
      <c r="Q31" s="24"/>
      <c r="R31" s="24"/>
      <c r="S31" s="24"/>
      <c r="T31" s="24"/>
      <c r="U31" s="24"/>
      <c r="V31" s="24"/>
      <c r="W31" s="9"/>
      <c r="X31" s="9"/>
      <c r="Y31" s="9"/>
      <c r="Z31" s="9"/>
      <c r="AA31" s="9"/>
      <c r="AB31" s="9"/>
      <c r="AC31" s="9"/>
      <c r="AD31" s="9"/>
      <c r="AE31" s="9"/>
      <c r="AF31" s="9"/>
      <c r="AG31" s="9"/>
      <c r="AH31" s="9"/>
      <c r="AI31" s="9"/>
      <c r="AJ31" s="9"/>
      <c r="AK31" s="9"/>
      <c r="AL31" s="9"/>
      <c r="AM31" s="9"/>
      <c r="AN31" s="9"/>
      <c r="AO31" s="9"/>
      <c r="AP31" s="9"/>
      <c r="AQ31" s="9"/>
    </row>
    <row r="32" spans="1:43" x14ac:dyDescent="0.5">
      <c r="A32" s="7"/>
      <c r="B32" s="7"/>
      <c r="C32" s="7"/>
      <c r="D32" s="7"/>
      <c r="E32" s="7"/>
      <c r="F32" s="7"/>
      <c r="G32" s="7"/>
      <c r="H32" s="7"/>
      <c r="I32" s="7"/>
      <c r="J32" s="7"/>
      <c r="K32" s="6"/>
      <c r="L32" s="24"/>
      <c r="M32" s="24"/>
      <c r="N32" s="24"/>
      <c r="O32" s="24"/>
      <c r="P32" s="24"/>
      <c r="Q32" s="24"/>
      <c r="R32" s="24"/>
      <c r="S32" s="24"/>
      <c r="T32" s="24"/>
      <c r="U32" s="24"/>
      <c r="V32" s="24"/>
      <c r="W32" s="9"/>
      <c r="X32" s="9"/>
      <c r="Y32" s="9"/>
      <c r="Z32" s="9"/>
      <c r="AA32" s="9"/>
      <c r="AB32" s="9"/>
      <c r="AC32" s="9"/>
      <c r="AD32" s="9"/>
      <c r="AE32" s="9"/>
      <c r="AF32" s="9"/>
      <c r="AG32" s="9"/>
      <c r="AH32" s="9"/>
      <c r="AI32" s="9"/>
      <c r="AJ32" s="9"/>
      <c r="AK32" s="9"/>
      <c r="AL32" s="9"/>
      <c r="AM32" s="9"/>
      <c r="AN32" s="9"/>
      <c r="AO32" s="9"/>
      <c r="AP32" s="9"/>
      <c r="AQ32" s="9"/>
    </row>
    <row r="33" spans="1:43" x14ac:dyDescent="0.5">
      <c r="A33" s="7"/>
      <c r="B33" s="7"/>
      <c r="C33" s="7"/>
      <c r="D33" s="7"/>
      <c r="E33" s="7"/>
      <c r="F33" s="7"/>
      <c r="G33" s="7"/>
      <c r="H33" s="7"/>
      <c r="I33" s="630" t="s">
        <v>9</v>
      </c>
      <c r="J33" s="630"/>
      <c r="K33" s="6"/>
      <c r="L33" s="24"/>
      <c r="M33" s="24"/>
      <c r="N33" s="24"/>
      <c r="O33" s="24"/>
      <c r="P33" s="24"/>
      <c r="Q33" s="24"/>
      <c r="R33" s="24"/>
      <c r="S33" s="24"/>
      <c r="T33" s="24"/>
      <c r="U33" s="24"/>
      <c r="V33" s="24"/>
      <c r="W33" s="9"/>
      <c r="X33" s="9"/>
      <c r="Y33" s="9"/>
      <c r="Z33" s="9"/>
      <c r="AA33" s="9"/>
      <c r="AB33" s="9"/>
      <c r="AC33" s="9"/>
      <c r="AD33" s="9"/>
      <c r="AE33" s="9"/>
      <c r="AF33" s="9"/>
      <c r="AG33" s="9"/>
      <c r="AH33" s="9"/>
      <c r="AI33" s="9"/>
      <c r="AJ33" s="9"/>
      <c r="AK33" s="9"/>
      <c r="AL33" s="9"/>
      <c r="AM33" s="9"/>
      <c r="AN33" s="9"/>
      <c r="AO33" s="9"/>
      <c r="AP33" s="9"/>
      <c r="AQ33" s="9"/>
    </row>
    <row r="34" spans="1:43" x14ac:dyDescent="0.5">
      <c r="A34" s="7"/>
      <c r="B34" s="7"/>
      <c r="C34" s="7"/>
      <c r="D34" s="7"/>
      <c r="E34" s="7"/>
      <c r="F34" s="7"/>
      <c r="G34" s="7"/>
      <c r="H34" s="7"/>
      <c r="I34" s="623" t="s">
        <v>123</v>
      </c>
      <c r="J34" s="623"/>
      <c r="K34" s="6"/>
      <c r="L34" s="24"/>
      <c r="M34" s="24"/>
      <c r="N34" s="24"/>
      <c r="O34" s="24"/>
      <c r="P34" s="24"/>
      <c r="Q34" s="24"/>
      <c r="R34" s="24"/>
      <c r="S34" s="24"/>
      <c r="T34" s="24"/>
      <c r="U34" s="24"/>
      <c r="V34" s="24"/>
      <c r="W34" s="9"/>
      <c r="X34" s="9"/>
      <c r="Y34" s="9"/>
      <c r="Z34" s="9"/>
      <c r="AA34" s="9"/>
      <c r="AB34" s="9"/>
      <c r="AC34" s="9"/>
      <c r="AD34" s="9"/>
      <c r="AE34" s="9"/>
      <c r="AF34" s="9"/>
      <c r="AG34" s="9"/>
      <c r="AH34" s="9"/>
      <c r="AI34" s="9"/>
      <c r="AJ34" s="9"/>
      <c r="AK34" s="9"/>
      <c r="AL34" s="9"/>
      <c r="AM34" s="9"/>
      <c r="AN34" s="9"/>
      <c r="AO34" s="9"/>
      <c r="AP34" s="9"/>
      <c r="AQ34" s="9"/>
    </row>
    <row r="35" spans="1:43" x14ac:dyDescent="0.5">
      <c r="A35" s="7"/>
      <c r="B35" s="7"/>
      <c r="C35" s="7"/>
      <c r="D35" s="7"/>
      <c r="E35" s="7"/>
      <c r="F35" s="7"/>
      <c r="G35" s="7"/>
      <c r="H35" s="7"/>
      <c r="I35" s="7"/>
      <c r="J35" s="37" t="s">
        <v>25</v>
      </c>
      <c r="K35" s="6"/>
      <c r="L35" s="24"/>
      <c r="M35" s="24"/>
      <c r="N35" s="24"/>
      <c r="O35" s="24"/>
      <c r="P35" s="24"/>
      <c r="Q35" s="24"/>
      <c r="R35" s="24"/>
      <c r="S35" s="24"/>
      <c r="T35" s="24"/>
      <c r="U35" s="24"/>
      <c r="V35" s="24"/>
      <c r="W35" s="9"/>
      <c r="X35" s="9"/>
      <c r="Y35" s="9"/>
      <c r="Z35" s="9"/>
      <c r="AA35" s="9"/>
      <c r="AB35" s="9"/>
      <c r="AC35" s="9"/>
      <c r="AD35" s="9"/>
      <c r="AE35" s="9"/>
      <c r="AF35" s="9"/>
      <c r="AG35" s="9"/>
      <c r="AH35" s="9"/>
      <c r="AI35" s="9"/>
      <c r="AJ35" s="9"/>
      <c r="AK35" s="9"/>
      <c r="AL35" s="9"/>
      <c r="AM35" s="9"/>
      <c r="AN35" s="9"/>
      <c r="AO35" s="9"/>
      <c r="AP35" s="9"/>
      <c r="AQ35" s="9"/>
    </row>
    <row r="36" spans="1:43" x14ac:dyDescent="0.5">
      <c r="A36" s="38" t="s">
        <v>23</v>
      </c>
      <c r="B36" s="7"/>
      <c r="C36" s="7"/>
      <c r="D36" s="7"/>
      <c r="E36" s="7"/>
      <c r="F36" s="7"/>
      <c r="G36" s="7"/>
      <c r="H36" s="7"/>
      <c r="I36" s="7"/>
      <c r="J36" s="7"/>
      <c r="K36" s="24"/>
      <c r="L36" s="24"/>
      <c r="M36" s="24"/>
      <c r="N36" s="24"/>
      <c r="O36" s="24"/>
      <c r="P36" s="24"/>
      <c r="Q36" s="24"/>
      <c r="R36" s="24"/>
      <c r="S36" s="24"/>
      <c r="T36" s="24"/>
      <c r="U36" s="24"/>
      <c r="V36" s="24"/>
      <c r="W36" s="9"/>
      <c r="X36" s="9"/>
      <c r="Y36" s="9"/>
      <c r="Z36" s="9"/>
      <c r="AA36" s="9"/>
      <c r="AB36" s="9"/>
      <c r="AC36" s="9"/>
      <c r="AD36" s="9"/>
      <c r="AE36" s="9"/>
      <c r="AF36" s="9"/>
      <c r="AG36" s="9"/>
      <c r="AH36" s="9"/>
      <c r="AI36" s="9"/>
      <c r="AJ36" s="9"/>
      <c r="AK36" s="9"/>
      <c r="AL36" s="9"/>
      <c r="AM36" s="9"/>
      <c r="AN36" s="9"/>
      <c r="AO36" s="9"/>
      <c r="AP36" s="9"/>
      <c r="AQ36" s="9"/>
    </row>
    <row r="37" spans="1:43" x14ac:dyDescent="0.5">
      <c r="A37" s="9" t="s">
        <v>26</v>
      </c>
      <c r="B37" s="9"/>
      <c r="C37" s="9"/>
      <c r="D37" s="9"/>
      <c r="E37" s="9"/>
      <c r="F37" s="9"/>
      <c r="G37" s="9"/>
      <c r="H37" s="9"/>
      <c r="I37" s="9"/>
      <c r="J37" s="9"/>
      <c r="K37" s="24"/>
      <c r="L37" s="24"/>
      <c r="M37" s="24"/>
      <c r="N37" s="24"/>
      <c r="O37" s="24"/>
      <c r="P37" s="24"/>
      <c r="Q37" s="24"/>
      <c r="R37" s="24"/>
      <c r="S37" s="24"/>
      <c r="T37" s="24"/>
      <c r="U37" s="24"/>
      <c r="V37" s="24"/>
      <c r="W37" s="9"/>
      <c r="X37" s="9"/>
      <c r="Y37" s="9"/>
      <c r="Z37" s="9"/>
      <c r="AA37" s="9"/>
      <c r="AB37" s="9"/>
      <c r="AC37" s="9"/>
      <c r="AD37" s="9"/>
      <c r="AE37" s="9"/>
      <c r="AF37" s="9"/>
      <c r="AG37" s="9"/>
      <c r="AH37" s="9"/>
      <c r="AI37" s="9"/>
      <c r="AJ37" s="9"/>
      <c r="AK37" s="9"/>
      <c r="AL37" s="9"/>
      <c r="AM37" s="9"/>
      <c r="AN37" s="9"/>
      <c r="AO37" s="9"/>
      <c r="AP37" s="9"/>
      <c r="AQ37" s="9"/>
    </row>
    <row r="38" spans="1:43" x14ac:dyDescent="0.5">
      <c r="A38" s="9"/>
      <c r="B38" s="9"/>
      <c r="C38" s="9"/>
      <c r="D38" s="9"/>
      <c r="E38" s="9"/>
      <c r="F38" s="9"/>
      <c r="G38" s="9"/>
      <c r="H38" s="9"/>
      <c r="I38" s="9"/>
      <c r="J38" s="9"/>
      <c r="K38" s="24"/>
      <c r="L38" s="24"/>
      <c r="M38" s="24"/>
      <c r="N38" s="24"/>
      <c r="O38" s="24"/>
      <c r="P38" s="24"/>
      <c r="Q38" s="24"/>
      <c r="R38" s="24"/>
      <c r="S38" s="24"/>
      <c r="T38" s="24"/>
      <c r="U38" s="24"/>
      <c r="V38" s="24"/>
      <c r="W38" s="9"/>
      <c r="X38" s="9"/>
      <c r="Y38" s="9"/>
      <c r="Z38" s="9"/>
      <c r="AA38" s="9"/>
      <c r="AB38" s="9"/>
      <c r="AC38" s="9"/>
      <c r="AD38" s="9"/>
      <c r="AE38" s="9"/>
      <c r="AF38" s="9"/>
      <c r="AG38" s="9"/>
      <c r="AH38" s="9"/>
      <c r="AI38" s="9"/>
      <c r="AJ38" s="9"/>
      <c r="AK38" s="9"/>
      <c r="AL38" s="9"/>
      <c r="AM38" s="9"/>
      <c r="AN38" s="9"/>
      <c r="AO38" s="9"/>
      <c r="AP38" s="9"/>
      <c r="AQ38" s="9"/>
    </row>
    <row r="39" spans="1:43" x14ac:dyDescent="0.5">
      <c r="A39" s="9"/>
      <c r="B39" s="9"/>
      <c r="C39" s="9"/>
      <c r="D39" s="9"/>
      <c r="E39" s="9"/>
      <c r="F39" s="9"/>
      <c r="G39" s="9"/>
      <c r="H39" s="9"/>
      <c r="I39" s="9"/>
      <c r="J39" s="9"/>
      <c r="K39" s="24"/>
      <c r="L39" s="24"/>
      <c r="M39" s="24"/>
      <c r="N39" s="24"/>
      <c r="O39" s="24"/>
      <c r="P39" s="24"/>
      <c r="Q39" s="24"/>
      <c r="R39" s="24"/>
      <c r="S39" s="24"/>
      <c r="T39" s="24"/>
      <c r="U39" s="24"/>
      <c r="V39" s="24"/>
      <c r="W39" s="9"/>
      <c r="X39" s="9"/>
      <c r="Y39" s="9"/>
      <c r="Z39" s="9"/>
      <c r="AA39" s="9"/>
      <c r="AB39" s="9"/>
      <c r="AC39" s="9"/>
      <c r="AD39" s="9"/>
      <c r="AE39" s="9"/>
      <c r="AF39" s="9"/>
      <c r="AG39" s="9"/>
      <c r="AH39" s="9"/>
      <c r="AI39" s="9"/>
      <c r="AJ39" s="9"/>
      <c r="AK39" s="9"/>
      <c r="AL39" s="9"/>
      <c r="AM39" s="9"/>
      <c r="AN39" s="9"/>
      <c r="AO39" s="9"/>
      <c r="AP39" s="9"/>
      <c r="AQ39" s="9"/>
    </row>
    <row r="40" spans="1:43" x14ac:dyDescent="0.5">
      <c r="A40" s="9"/>
      <c r="B40" s="9"/>
      <c r="C40" s="9"/>
      <c r="D40" s="9"/>
      <c r="E40" s="9"/>
      <c r="F40" s="9"/>
      <c r="G40" s="9"/>
      <c r="H40" s="9"/>
      <c r="I40" s="9"/>
      <c r="J40" s="9"/>
      <c r="K40" s="24"/>
      <c r="L40" s="24"/>
      <c r="M40" s="24"/>
      <c r="N40" s="24"/>
      <c r="O40" s="24"/>
      <c r="P40" s="24"/>
      <c r="Q40" s="24"/>
      <c r="R40" s="24"/>
      <c r="S40" s="24"/>
      <c r="T40" s="24"/>
      <c r="U40" s="24"/>
      <c r="V40" s="24"/>
      <c r="W40" s="9"/>
      <c r="X40" s="9"/>
      <c r="Y40" s="9"/>
      <c r="Z40" s="9"/>
      <c r="AA40" s="9"/>
      <c r="AB40" s="9"/>
      <c r="AC40" s="9"/>
      <c r="AD40" s="9"/>
      <c r="AE40" s="9"/>
      <c r="AF40" s="9"/>
      <c r="AG40" s="9"/>
      <c r="AH40" s="9"/>
      <c r="AI40" s="9"/>
      <c r="AJ40" s="9"/>
      <c r="AK40" s="9"/>
      <c r="AL40" s="9"/>
      <c r="AM40" s="9"/>
      <c r="AN40" s="9"/>
      <c r="AO40" s="9"/>
      <c r="AP40" s="9"/>
      <c r="AQ40" s="9"/>
    </row>
    <row r="41" spans="1:43" x14ac:dyDescent="0.5">
      <c r="A41" s="9"/>
      <c r="B41" s="9"/>
      <c r="C41" s="9"/>
      <c r="D41" s="9"/>
      <c r="E41" s="9"/>
      <c r="F41" s="9"/>
      <c r="G41" s="9"/>
      <c r="H41" s="9"/>
      <c r="I41" s="9"/>
      <c r="J41" s="9"/>
      <c r="K41" s="24"/>
      <c r="L41" s="24"/>
      <c r="M41" s="24"/>
      <c r="N41" s="24"/>
      <c r="O41" s="24"/>
      <c r="P41" s="24"/>
      <c r="Q41" s="24"/>
      <c r="R41" s="24"/>
      <c r="S41" s="24"/>
      <c r="T41" s="24"/>
      <c r="U41" s="24"/>
      <c r="V41" s="24"/>
      <c r="W41" s="9"/>
      <c r="X41" s="9"/>
      <c r="Y41" s="9"/>
      <c r="Z41" s="9"/>
      <c r="AA41" s="9"/>
      <c r="AB41" s="9"/>
      <c r="AC41" s="9"/>
      <c r="AD41" s="9"/>
      <c r="AE41" s="9"/>
      <c r="AF41" s="9"/>
      <c r="AG41" s="9"/>
      <c r="AH41" s="9"/>
      <c r="AI41" s="9"/>
      <c r="AJ41" s="9"/>
      <c r="AK41" s="9"/>
      <c r="AL41" s="9"/>
      <c r="AM41" s="9"/>
      <c r="AN41" s="9"/>
      <c r="AO41" s="9"/>
      <c r="AP41" s="9"/>
      <c r="AQ41" s="9"/>
    </row>
    <row r="42" spans="1:43" x14ac:dyDescent="0.5">
      <c r="A42" s="9"/>
      <c r="B42" s="9"/>
      <c r="C42" s="9"/>
      <c r="D42" s="9"/>
      <c r="E42" s="9"/>
      <c r="F42" s="9"/>
      <c r="G42" s="9"/>
      <c r="H42" s="9"/>
      <c r="I42" s="9"/>
      <c r="J42" s="9"/>
      <c r="K42" s="24"/>
      <c r="L42" s="24"/>
      <c r="M42" s="24"/>
      <c r="N42" s="24"/>
      <c r="O42" s="24"/>
      <c r="P42" s="24"/>
      <c r="Q42" s="24"/>
      <c r="R42" s="24"/>
      <c r="S42" s="24"/>
      <c r="T42" s="24"/>
      <c r="U42" s="24"/>
      <c r="V42" s="24"/>
      <c r="W42" s="9"/>
      <c r="X42" s="9"/>
      <c r="Y42" s="9"/>
      <c r="Z42" s="9"/>
      <c r="AA42" s="9"/>
      <c r="AB42" s="9"/>
      <c r="AC42" s="9"/>
      <c r="AD42" s="9"/>
      <c r="AE42" s="9"/>
      <c r="AF42" s="9"/>
      <c r="AG42" s="9"/>
      <c r="AH42" s="9"/>
      <c r="AI42" s="9"/>
      <c r="AJ42" s="9"/>
      <c r="AK42" s="9"/>
      <c r="AL42" s="9"/>
      <c r="AM42" s="9"/>
      <c r="AN42" s="9"/>
      <c r="AO42" s="9"/>
      <c r="AP42" s="9"/>
      <c r="AQ42" s="9"/>
    </row>
    <row r="43" spans="1:43" x14ac:dyDescent="0.5">
      <c r="A43" s="9"/>
      <c r="B43" s="9"/>
      <c r="C43" s="9"/>
      <c r="D43" s="9"/>
      <c r="E43" s="9"/>
      <c r="F43" s="9"/>
      <c r="G43" s="9"/>
      <c r="H43" s="9"/>
      <c r="I43" s="9"/>
      <c r="J43" s="9"/>
      <c r="K43" s="24"/>
      <c r="L43" s="24"/>
      <c r="M43" s="24"/>
      <c r="N43" s="24"/>
      <c r="O43" s="24"/>
      <c r="P43" s="24"/>
      <c r="Q43" s="24"/>
      <c r="R43" s="24"/>
      <c r="S43" s="24"/>
      <c r="T43" s="24"/>
      <c r="U43" s="24"/>
      <c r="V43" s="24"/>
      <c r="W43" s="9"/>
      <c r="X43" s="9"/>
      <c r="Y43" s="9"/>
      <c r="Z43" s="9"/>
      <c r="AA43" s="9"/>
      <c r="AB43" s="9"/>
      <c r="AC43" s="9"/>
      <c r="AD43" s="9"/>
      <c r="AE43" s="9"/>
      <c r="AF43" s="9"/>
      <c r="AG43" s="9"/>
      <c r="AH43" s="9"/>
      <c r="AI43" s="9"/>
      <c r="AJ43" s="9"/>
      <c r="AK43" s="9"/>
      <c r="AL43" s="9"/>
      <c r="AM43" s="9"/>
      <c r="AN43" s="9"/>
      <c r="AO43" s="9"/>
      <c r="AP43" s="9"/>
      <c r="AQ43" s="9"/>
    </row>
    <row r="44" spans="1:43" x14ac:dyDescent="0.5">
      <c r="A44" s="9"/>
      <c r="B44" s="9"/>
      <c r="C44" s="9"/>
      <c r="D44" s="9"/>
      <c r="E44" s="9"/>
      <c r="F44" s="9"/>
      <c r="G44" s="9"/>
      <c r="H44" s="9"/>
      <c r="I44" s="9"/>
      <c r="J44" s="9"/>
      <c r="K44" s="24"/>
      <c r="L44" s="24"/>
      <c r="M44" s="24"/>
      <c r="N44" s="24"/>
      <c r="O44" s="24"/>
      <c r="P44" s="24"/>
      <c r="Q44" s="24"/>
      <c r="R44" s="24"/>
      <c r="S44" s="24"/>
      <c r="T44" s="24"/>
      <c r="U44" s="24"/>
      <c r="V44" s="24"/>
      <c r="W44" s="9"/>
      <c r="X44" s="9"/>
      <c r="Y44" s="9"/>
      <c r="Z44" s="9"/>
      <c r="AA44" s="9"/>
      <c r="AB44" s="9"/>
      <c r="AC44" s="9"/>
      <c r="AD44" s="9"/>
      <c r="AE44" s="9"/>
      <c r="AF44" s="9"/>
      <c r="AG44" s="9"/>
      <c r="AH44" s="9"/>
      <c r="AI44" s="9"/>
      <c r="AJ44" s="9"/>
      <c r="AK44" s="9"/>
      <c r="AL44" s="9"/>
      <c r="AM44" s="9"/>
      <c r="AN44" s="9"/>
      <c r="AO44" s="9"/>
      <c r="AP44" s="9"/>
      <c r="AQ44" s="9"/>
    </row>
    <row r="45" spans="1:43" x14ac:dyDescent="0.5">
      <c r="A45" s="9"/>
      <c r="B45" s="9"/>
      <c r="C45" s="9"/>
      <c r="D45" s="9"/>
      <c r="E45" s="9"/>
      <c r="F45" s="9"/>
      <c r="G45" s="9"/>
      <c r="H45" s="9"/>
      <c r="I45" s="9"/>
      <c r="J45" s="9"/>
      <c r="K45" s="24"/>
      <c r="L45" s="24"/>
      <c r="M45" s="24"/>
      <c r="N45" s="24"/>
      <c r="O45" s="24"/>
      <c r="P45" s="24"/>
      <c r="Q45" s="24"/>
      <c r="R45" s="24"/>
      <c r="S45" s="24"/>
      <c r="T45" s="24"/>
      <c r="U45" s="24"/>
      <c r="V45" s="24"/>
      <c r="W45" s="9"/>
      <c r="X45" s="9"/>
      <c r="Y45" s="9"/>
      <c r="Z45" s="9"/>
      <c r="AA45" s="9"/>
      <c r="AB45" s="9"/>
      <c r="AC45" s="9"/>
      <c r="AD45" s="9"/>
      <c r="AE45" s="9"/>
      <c r="AF45" s="9"/>
      <c r="AG45" s="9"/>
      <c r="AH45" s="9"/>
      <c r="AI45" s="9"/>
      <c r="AJ45" s="9"/>
      <c r="AK45" s="9"/>
      <c r="AL45" s="9"/>
      <c r="AM45" s="9"/>
      <c r="AN45" s="9"/>
      <c r="AO45" s="9"/>
      <c r="AP45" s="9"/>
      <c r="AQ45" s="9"/>
    </row>
    <row r="46" spans="1:43" x14ac:dyDescent="0.5">
      <c r="A46" s="9"/>
      <c r="B46" s="9"/>
      <c r="C46" s="9"/>
      <c r="D46" s="9"/>
      <c r="E46" s="9"/>
      <c r="F46" s="9"/>
      <c r="G46" s="9"/>
      <c r="H46" s="9"/>
      <c r="I46" s="9"/>
      <c r="J46" s="9"/>
      <c r="K46" s="24"/>
      <c r="L46" s="24"/>
      <c r="M46" s="24"/>
      <c r="N46" s="24"/>
      <c r="O46" s="24"/>
      <c r="P46" s="24"/>
      <c r="Q46" s="24"/>
      <c r="R46" s="24"/>
      <c r="S46" s="24"/>
      <c r="T46" s="24"/>
      <c r="U46" s="24"/>
      <c r="V46" s="24"/>
      <c r="W46" s="9"/>
      <c r="X46" s="9"/>
      <c r="Y46" s="9"/>
      <c r="Z46" s="9"/>
      <c r="AA46" s="9"/>
      <c r="AB46" s="9"/>
      <c r="AC46" s="9"/>
      <c r="AD46" s="9"/>
      <c r="AE46" s="9"/>
      <c r="AF46" s="9"/>
      <c r="AG46" s="9"/>
      <c r="AH46" s="9"/>
      <c r="AI46" s="9"/>
      <c r="AJ46" s="9"/>
      <c r="AK46" s="9"/>
      <c r="AL46" s="9"/>
      <c r="AM46" s="9"/>
      <c r="AN46" s="9"/>
      <c r="AO46" s="9"/>
      <c r="AP46" s="9"/>
      <c r="AQ46" s="9"/>
    </row>
    <row r="47" spans="1:43" x14ac:dyDescent="0.5">
      <c r="A47" s="9"/>
      <c r="B47" s="9"/>
      <c r="C47" s="9"/>
      <c r="D47" s="9"/>
      <c r="E47" s="9"/>
      <c r="F47" s="9"/>
      <c r="G47" s="9"/>
      <c r="H47" s="9"/>
      <c r="I47" s="9"/>
      <c r="J47" s="9"/>
      <c r="K47" s="24"/>
      <c r="L47" s="24"/>
      <c r="M47" s="24"/>
      <c r="N47" s="24"/>
      <c r="O47" s="24"/>
      <c r="P47" s="24"/>
      <c r="Q47" s="24"/>
      <c r="R47" s="24"/>
      <c r="S47" s="24"/>
      <c r="T47" s="24"/>
      <c r="U47" s="24"/>
      <c r="V47" s="24"/>
      <c r="W47" s="9"/>
      <c r="X47" s="9"/>
      <c r="Y47" s="9"/>
      <c r="Z47" s="9"/>
      <c r="AA47" s="9"/>
      <c r="AB47" s="9"/>
      <c r="AC47" s="9"/>
      <c r="AD47" s="9"/>
      <c r="AE47" s="9"/>
      <c r="AF47" s="9"/>
      <c r="AG47" s="9"/>
      <c r="AH47" s="9"/>
      <c r="AI47" s="9"/>
      <c r="AJ47" s="9"/>
      <c r="AK47" s="9"/>
      <c r="AL47" s="9"/>
      <c r="AM47" s="9"/>
      <c r="AN47" s="9"/>
      <c r="AO47" s="9"/>
      <c r="AP47" s="9"/>
      <c r="AQ47" s="9"/>
    </row>
    <row r="48" spans="1:43" x14ac:dyDescent="0.5">
      <c r="A48" s="9"/>
      <c r="B48" s="9"/>
      <c r="C48" s="9"/>
      <c r="D48" s="9"/>
      <c r="E48" s="9"/>
      <c r="F48" s="9"/>
      <c r="G48" s="9"/>
      <c r="H48" s="9"/>
      <c r="I48" s="9"/>
      <c r="J48" s="9"/>
      <c r="K48" s="24"/>
      <c r="L48" s="24"/>
      <c r="M48" s="24"/>
      <c r="N48" s="24"/>
      <c r="O48" s="24"/>
      <c r="P48" s="24"/>
      <c r="Q48" s="24"/>
      <c r="R48" s="24"/>
      <c r="S48" s="24"/>
      <c r="T48" s="24"/>
      <c r="U48" s="24"/>
      <c r="V48" s="24"/>
      <c r="W48" s="9"/>
      <c r="X48" s="9"/>
      <c r="Y48" s="9"/>
      <c r="Z48" s="9"/>
      <c r="AA48" s="9"/>
      <c r="AB48" s="9"/>
      <c r="AC48" s="9"/>
      <c r="AD48" s="9"/>
      <c r="AE48" s="9"/>
      <c r="AF48" s="9"/>
      <c r="AG48" s="9"/>
      <c r="AH48" s="9"/>
      <c r="AI48" s="9"/>
      <c r="AJ48" s="9"/>
      <c r="AK48" s="9"/>
      <c r="AL48" s="9"/>
      <c r="AM48" s="9"/>
      <c r="AN48" s="9"/>
      <c r="AO48" s="9"/>
      <c r="AP48" s="9"/>
      <c r="AQ48" s="9"/>
    </row>
    <row r="49" spans="1:43" x14ac:dyDescent="0.5">
      <c r="A49" s="9"/>
      <c r="B49" s="9"/>
      <c r="C49" s="9"/>
      <c r="D49" s="9"/>
      <c r="E49" s="9"/>
      <c r="F49" s="9"/>
      <c r="G49" s="9"/>
      <c r="H49" s="9"/>
      <c r="I49" s="9"/>
      <c r="J49" s="9"/>
      <c r="K49" s="24"/>
      <c r="L49" s="24"/>
      <c r="M49" s="24"/>
      <c r="N49" s="24"/>
      <c r="O49" s="24"/>
      <c r="P49" s="24"/>
      <c r="Q49" s="24"/>
      <c r="R49" s="24"/>
      <c r="S49" s="24"/>
      <c r="T49" s="24"/>
      <c r="U49" s="24"/>
      <c r="V49" s="24"/>
      <c r="W49" s="9"/>
      <c r="X49" s="9"/>
      <c r="Y49" s="9"/>
      <c r="Z49" s="9"/>
      <c r="AA49" s="9"/>
      <c r="AB49" s="9"/>
      <c r="AC49" s="9"/>
      <c r="AD49" s="9"/>
      <c r="AE49" s="9"/>
      <c r="AF49" s="9"/>
      <c r="AG49" s="9"/>
      <c r="AH49" s="9"/>
      <c r="AI49" s="9"/>
      <c r="AJ49" s="9"/>
      <c r="AK49" s="9"/>
      <c r="AL49" s="9"/>
      <c r="AM49" s="9"/>
      <c r="AN49" s="9"/>
      <c r="AO49" s="9"/>
      <c r="AP49" s="9"/>
      <c r="AQ49" s="9"/>
    </row>
    <row r="50" spans="1:43" x14ac:dyDescent="0.5">
      <c r="A50" s="9"/>
      <c r="B50" s="9"/>
      <c r="C50" s="9"/>
      <c r="D50" s="9"/>
      <c r="E50" s="9"/>
      <c r="F50" s="9"/>
      <c r="G50" s="9"/>
      <c r="H50" s="9"/>
      <c r="I50" s="9"/>
      <c r="J50" s="9"/>
      <c r="K50" s="24"/>
      <c r="L50" s="24"/>
      <c r="M50" s="24"/>
      <c r="N50" s="24"/>
      <c r="O50" s="24"/>
      <c r="P50" s="24"/>
      <c r="Q50" s="24"/>
      <c r="R50" s="24"/>
      <c r="S50" s="24"/>
      <c r="T50" s="24"/>
      <c r="U50" s="24"/>
      <c r="V50" s="24"/>
      <c r="W50" s="9"/>
      <c r="X50" s="9"/>
      <c r="Y50" s="9"/>
      <c r="Z50" s="9"/>
      <c r="AA50" s="9"/>
      <c r="AB50" s="9"/>
      <c r="AC50" s="9"/>
      <c r="AD50" s="9"/>
      <c r="AE50" s="9"/>
      <c r="AF50" s="9"/>
      <c r="AG50" s="9"/>
      <c r="AH50" s="9"/>
      <c r="AI50" s="9"/>
      <c r="AJ50" s="9"/>
      <c r="AK50" s="9"/>
      <c r="AL50" s="9"/>
      <c r="AM50" s="9"/>
      <c r="AN50" s="9"/>
      <c r="AO50" s="9"/>
      <c r="AP50" s="9"/>
      <c r="AQ50" s="9"/>
    </row>
    <row r="51" spans="1:43" x14ac:dyDescent="0.5">
      <c r="A51" s="9"/>
      <c r="B51" s="9"/>
      <c r="C51" s="9"/>
      <c r="D51" s="9"/>
      <c r="E51" s="9"/>
      <c r="F51" s="9"/>
      <c r="G51" s="9"/>
      <c r="H51" s="9"/>
      <c r="I51" s="9"/>
      <c r="J51" s="9"/>
      <c r="K51" s="24"/>
      <c r="L51" s="24"/>
      <c r="M51" s="24"/>
      <c r="N51" s="24"/>
      <c r="O51" s="24"/>
      <c r="P51" s="24"/>
      <c r="Q51" s="24"/>
      <c r="R51" s="24"/>
      <c r="S51" s="24"/>
      <c r="T51" s="24"/>
      <c r="U51" s="24"/>
      <c r="V51" s="24"/>
      <c r="W51" s="9"/>
      <c r="X51" s="9"/>
      <c r="Y51" s="9"/>
      <c r="Z51" s="9"/>
      <c r="AA51" s="9"/>
      <c r="AB51" s="9"/>
      <c r="AC51" s="9"/>
      <c r="AD51" s="9"/>
      <c r="AE51" s="9"/>
      <c r="AF51" s="9"/>
      <c r="AG51" s="9"/>
      <c r="AH51" s="9"/>
      <c r="AI51" s="9"/>
      <c r="AJ51" s="9"/>
      <c r="AK51" s="9"/>
      <c r="AL51" s="9"/>
      <c r="AM51" s="9"/>
      <c r="AN51" s="9"/>
      <c r="AO51" s="9"/>
      <c r="AP51" s="9"/>
      <c r="AQ51" s="9"/>
    </row>
    <row r="52" spans="1:43" x14ac:dyDescent="0.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x14ac:dyDescent="0.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x14ac:dyDescent="0.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x14ac:dyDescent="0.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x14ac:dyDescent="0.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x14ac:dyDescent="0.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43" x14ac:dyDescent="0.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row>
    <row r="59" spans="1:43" x14ac:dyDescent="0.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row>
    <row r="60" spans="1:43" x14ac:dyDescent="0.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3" x14ac:dyDescent="0.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x14ac:dyDescent="0.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x14ac:dyDescent="0.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x14ac:dyDescent="0.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x14ac:dyDescent="0.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x14ac:dyDescent="0.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row>
    <row r="67" spans="1:43" x14ac:dyDescent="0.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row>
    <row r="68" spans="1:43" x14ac:dyDescent="0.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row>
    <row r="69" spans="1:43" x14ac:dyDescent="0.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row>
    <row r="70" spans="1:43" x14ac:dyDescent="0.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row>
    <row r="71" spans="1:43" x14ac:dyDescent="0.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row>
    <row r="72" spans="1:43" x14ac:dyDescent="0.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row>
    <row r="73" spans="1:43" x14ac:dyDescent="0.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row>
    <row r="74" spans="1:43" x14ac:dyDescent="0.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row>
    <row r="75" spans="1:43" x14ac:dyDescent="0.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row>
    <row r="76" spans="1:43" x14ac:dyDescent="0.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row>
    <row r="77" spans="1:43" x14ac:dyDescent="0.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row>
    <row r="78" spans="1:43" x14ac:dyDescent="0.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row>
    <row r="79" spans="1:43" x14ac:dyDescent="0.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row>
    <row r="80" spans="1:43" x14ac:dyDescent="0.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row>
    <row r="81" spans="1:43" x14ac:dyDescent="0.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row>
    <row r="82" spans="1:43" x14ac:dyDescent="0.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row>
    <row r="83" spans="1:43" x14ac:dyDescent="0.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row>
    <row r="84" spans="1:43" x14ac:dyDescent="0.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row>
    <row r="85" spans="1:43" x14ac:dyDescent="0.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row>
    <row r="86" spans="1:43" x14ac:dyDescent="0.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row>
    <row r="87" spans="1:43" x14ac:dyDescent="0.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row>
    <row r="88" spans="1:43" x14ac:dyDescent="0.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row>
    <row r="89" spans="1:43" x14ac:dyDescent="0.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row>
    <row r="90" spans="1:43" x14ac:dyDescent="0.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row>
    <row r="91" spans="1:43" x14ac:dyDescent="0.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row>
    <row r="92" spans="1:43" x14ac:dyDescent="0.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row>
    <row r="93" spans="1:43" x14ac:dyDescent="0.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row>
    <row r="94" spans="1:43" x14ac:dyDescent="0.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row>
    <row r="95" spans="1:43" x14ac:dyDescent="0.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row>
    <row r="96" spans="1:43" x14ac:dyDescent="0.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row>
    <row r="97" spans="1:43" x14ac:dyDescent="0.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row>
    <row r="98" spans="1:43" x14ac:dyDescent="0.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row>
    <row r="99" spans="1:43" x14ac:dyDescent="0.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row>
    <row r="100" spans="1:43" x14ac:dyDescent="0.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row>
    <row r="101" spans="1:43" x14ac:dyDescent="0.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row>
    <row r="102" spans="1:43" x14ac:dyDescent="0.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row>
    <row r="103" spans="1:43" x14ac:dyDescent="0.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row>
    <row r="104" spans="1:43" x14ac:dyDescent="0.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row>
    <row r="105" spans="1:43" x14ac:dyDescent="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row>
    <row r="106" spans="1:43" x14ac:dyDescent="0.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row>
    <row r="107" spans="1:43" x14ac:dyDescent="0.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row>
    <row r="108" spans="1:43" x14ac:dyDescent="0.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row>
    <row r="109" spans="1:43" x14ac:dyDescent="0.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row>
    <row r="110" spans="1:43" x14ac:dyDescent="0.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row>
    <row r="111" spans="1:43" x14ac:dyDescent="0.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row>
    <row r="112" spans="1:43" x14ac:dyDescent="0.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row>
    <row r="113" spans="1:43" x14ac:dyDescent="0.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row>
    <row r="114" spans="1:43" x14ac:dyDescent="0.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row>
    <row r="115" spans="1:43" x14ac:dyDescent="0.5">
      <c r="A115" s="9"/>
      <c r="B115" s="9"/>
      <c r="C115" s="9"/>
      <c r="D115" s="9"/>
      <c r="E115" s="9"/>
      <c r="F115" s="9"/>
      <c r="G115" s="9"/>
      <c r="H115" s="9"/>
      <c r="I115" s="9"/>
      <c r="J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row>
  </sheetData>
  <mergeCells count="56">
    <mergeCell ref="S3:T4"/>
    <mergeCell ref="S5:T6"/>
    <mergeCell ref="A11:F11"/>
    <mergeCell ref="G11:I11"/>
    <mergeCell ref="K3:Q4"/>
    <mergeCell ref="K5:Q7"/>
    <mergeCell ref="A6:C6"/>
    <mergeCell ref="A7:C7"/>
    <mergeCell ref="A5:J5"/>
    <mergeCell ref="E3:G3"/>
    <mergeCell ref="I3:I4"/>
    <mergeCell ref="D3:D4"/>
    <mergeCell ref="A8:C8"/>
    <mergeCell ref="A28:F29"/>
    <mergeCell ref="A27:F27"/>
    <mergeCell ref="G27:I27"/>
    <mergeCell ref="A12:C12"/>
    <mergeCell ref="A23:J23"/>
    <mergeCell ref="A20:C20"/>
    <mergeCell ref="A26:C26"/>
    <mergeCell ref="E26:G26"/>
    <mergeCell ref="A21:C21"/>
    <mergeCell ref="A24:C24"/>
    <mergeCell ref="A25:C25"/>
    <mergeCell ref="A22:F22"/>
    <mergeCell ref="G22:I22"/>
    <mergeCell ref="A13:C13"/>
    <mergeCell ref="A18:C18"/>
    <mergeCell ref="A14:C14"/>
    <mergeCell ref="A15:C15"/>
    <mergeCell ref="A1:J1"/>
    <mergeCell ref="A2:B2"/>
    <mergeCell ref="A3:C4"/>
    <mergeCell ref="J3:J4"/>
    <mergeCell ref="C2:J2"/>
    <mergeCell ref="A9:C9"/>
    <mergeCell ref="E9:G9"/>
    <mergeCell ref="A10:C10"/>
    <mergeCell ref="E10:G10"/>
    <mergeCell ref="H3:H4"/>
    <mergeCell ref="I30:J30"/>
    <mergeCell ref="I31:J31"/>
    <mergeCell ref="I34:J34"/>
    <mergeCell ref="E13:G13"/>
    <mergeCell ref="E18:G18"/>
    <mergeCell ref="E21:G21"/>
    <mergeCell ref="E24:G24"/>
    <mergeCell ref="E25:G25"/>
    <mergeCell ref="I33:J33"/>
    <mergeCell ref="A16:F16"/>
    <mergeCell ref="G16:I16"/>
    <mergeCell ref="A17:C17"/>
    <mergeCell ref="A19:F19"/>
    <mergeCell ref="G19:I19"/>
    <mergeCell ref="I28:I29"/>
    <mergeCell ref="J28:J29"/>
  </mergeCells>
  <conditionalFormatting sqref="J13">
    <cfRule type="cellIs" dxfId="9" priority="469" stopIfTrue="1" operator="equal">
      <formula>"โปรดตรวจสอบข้อมูล คะแนนเต็ม 5.00 คะแนน"</formula>
    </cfRule>
  </conditionalFormatting>
  <conditionalFormatting sqref="J28:J29">
    <cfRule type="cellIs" dxfId="8" priority="468" operator="equal">
      <formula>"หลักสูตรไม่เป็นไปตามมาตรฐาน"</formula>
    </cfRule>
  </conditionalFormatting>
  <conditionalFormatting sqref="J7">
    <cfRule type="cellIs" dxfId="7" priority="461" stopIfTrue="1" operator="equal">
      <formula>"โปรดตรวจสอบข้อมูล คะแนนเต็ม 5.00 คะแนน"</formula>
    </cfRule>
  </conditionalFormatting>
  <conditionalFormatting sqref="J6">
    <cfRule type="cellIs" dxfId="6" priority="53" stopIfTrue="1" operator="equal">
      <formula>"โปรดตรวจสอบข้อมูล คะแนนเต็ม 5.00 คะแนน"</formula>
    </cfRule>
  </conditionalFormatting>
  <conditionalFormatting sqref="J14">
    <cfRule type="cellIs" dxfId="5" priority="50" stopIfTrue="1" operator="equal">
      <formula>"โปรดตรวจสอบข้อมูล คะแนนเต็ม 5.00 คะแนน"</formula>
    </cfRule>
  </conditionalFormatting>
  <conditionalFormatting sqref="J15">
    <cfRule type="cellIs" dxfId="4" priority="46" stopIfTrue="1" operator="equal">
      <formula>"โปรดตรวจสอบข้อมูล คะแนนเต็ม 5.00 คะแนน"</formula>
    </cfRule>
  </conditionalFormatting>
  <conditionalFormatting sqref="J8">
    <cfRule type="cellIs" dxfId="3" priority="3" stopIfTrue="1" operator="equal">
      <formula>"โปรดตรวจสอบข้อมูล คะแนนเต็ม 5.00 คะแนน"</formula>
    </cfRule>
  </conditionalFormatting>
  <conditionalFormatting sqref="J9">
    <cfRule type="cellIs" dxfId="2" priority="2" stopIfTrue="1" operator="equal">
      <formula>"โปรดตรวจสอบข้อมูล คะแนนเต็ม 5.00 คะแนน"</formula>
    </cfRule>
  </conditionalFormatting>
  <conditionalFormatting sqref="J10">
    <cfRule type="cellIs" dxfId="1" priority="1" stopIfTrue="1" operator="equal">
      <formula>"โปรดตรวจสอบข้อมูล คะแนนเต็ม 5.00 คะแนน"</formula>
    </cfRule>
  </conditionalFormatting>
  <hyperlinks>
    <hyperlink ref="S5:T6" location="'สรุปตาราง 2'!A1" display="ตาราง 2"/>
    <hyperlink ref="S3:T4" location="กรอกคะแนน!A1" display="ตารางกรอกคะแนน"/>
  </hyperlinks>
  <pageMargins left="0.43307086614173229" right="0.23622047244094491" top="0.74803149606299213" bottom="0.74803149606299213" header="0.11811023622047245" footer="0.11811023622047245"/>
  <pageSetup paperSize="9" scale="90"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4"/>
  <sheetViews>
    <sheetView view="pageBreakPreview" zoomScale="115" zoomScaleNormal="115" zoomScaleSheetLayoutView="115" workbookViewId="0">
      <selection activeCell="C20" sqref="C20"/>
    </sheetView>
  </sheetViews>
  <sheetFormatPr defaultColWidth="6.26953125" defaultRowHeight="23.25" x14ac:dyDescent="0.5"/>
  <cols>
    <col min="1" max="1" width="28.1796875" style="3" customWidth="1"/>
    <col min="2" max="2" width="7.6328125" style="3" customWidth="1"/>
    <col min="3" max="4" width="8.08984375" style="3" customWidth="1"/>
    <col min="5" max="5" width="8.1796875" style="3" customWidth="1"/>
    <col min="6" max="6" width="7.81640625" style="3" customWidth="1"/>
    <col min="7" max="7" width="11.26953125" style="3" customWidth="1"/>
    <col min="8" max="8" width="12.1796875" style="3" customWidth="1"/>
    <col min="9" max="254" width="6.26953125" style="3"/>
    <col min="255" max="255" width="1.1796875" style="3" customWidth="1"/>
    <col min="256" max="256" width="24.08984375" style="3" customWidth="1"/>
    <col min="257" max="257" width="6.90625" style="3" customWidth="1"/>
    <col min="258" max="259" width="8.08984375" style="3" customWidth="1"/>
    <col min="260" max="260" width="8.1796875" style="3" customWidth="1"/>
    <col min="261" max="261" width="7.81640625" style="3" customWidth="1"/>
    <col min="262" max="262" width="2.90625" style="3" customWidth="1"/>
    <col min="263" max="263" width="20.81640625" style="3" customWidth="1"/>
    <col min="264" max="264" width="16.1796875" style="3" customWidth="1"/>
    <col min="265" max="510" width="6.26953125" style="3"/>
    <col min="511" max="511" width="1.1796875" style="3" customWidth="1"/>
    <col min="512" max="512" width="24.08984375" style="3" customWidth="1"/>
    <col min="513" max="513" width="6.90625" style="3" customWidth="1"/>
    <col min="514" max="515" width="8.08984375" style="3" customWidth="1"/>
    <col min="516" max="516" width="8.1796875" style="3" customWidth="1"/>
    <col min="517" max="517" width="7.81640625" style="3" customWidth="1"/>
    <col min="518" max="518" width="2.90625" style="3" customWidth="1"/>
    <col min="519" max="519" width="20.81640625" style="3" customWidth="1"/>
    <col min="520" max="520" width="16.1796875" style="3" customWidth="1"/>
    <col min="521" max="766" width="6.26953125" style="3"/>
    <col min="767" max="767" width="1.1796875" style="3" customWidth="1"/>
    <col min="768" max="768" width="24.08984375" style="3" customWidth="1"/>
    <col min="769" max="769" width="6.90625" style="3" customWidth="1"/>
    <col min="770" max="771" width="8.08984375" style="3" customWidth="1"/>
    <col min="772" max="772" width="8.1796875" style="3" customWidth="1"/>
    <col min="773" max="773" width="7.81640625" style="3" customWidth="1"/>
    <col min="774" max="774" width="2.90625" style="3" customWidth="1"/>
    <col min="775" max="775" width="20.81640625" style="3" customWidth="1"/>
    <col min="776" max="776" width="16.1796875" style="3" customWidth="1"/>
    <col min="777" max="1022" width="6.26953125" style="3"/>
    <col min="1023" max="1023" width="1.1796875" style="3" customWidth="1"/>
    <col min="1024" max="1024" width="24.08984375" style="3" customWidth="1"/>
    <col min="1025" max="1025" width="6.90625" style="3" customWidth="1"/>
    <col min="1026" max="1027" width="8.08984375" style="3" customWidth="1"/>
    <col min="1028" max="1028" width="8.1796875" style="3" customWidth="1"/>
    <col min="1029" max="1029" width="7.81640625" style="3" customWidth="1"/>
    <col min="1030" max="1030" width="2.90625" style="3" customWidth="1"/>
    <col min="1031" max="1031" width="20.81640625" style="3" customWidth="1"/>
    <col min="1032" max="1032" width="16.1796875" style="3" customWidth="1"/>
    <col min="1033" max="1278" width="6.26953125" style="3"/>
    <col min="1279" max="1279" width="1.1796875" style="3" customWidth="1"/>
    <col min="1280" max="1280" width="24.08984375" style="3" customWidth="1"/>
    <col min="1281" max="1281" width="6.90625" style="3" customWidth="1"/>
    <col min="1282" max="1283" width="8.08984375" style="3" customWidth="1"/>
    <col min="1284" max="1284" width="8.1796875" style="3" customWidth="1"/>
    <col min="1285" max="1285" width="7.81640625" style="3" customWidth="1"/>
    <col min="1286" max="1286" width="2.90625" style="3" customWidth="1"/>
    <col min="1287" max="1287" width="20.81640625" style="3" customWidth="1"/>
    <col min="1288" max="1288" width="16.1796875" style="3" customWidth="1"/>
    <col min="1289" max="1534" width="6.26953125" style="3"/>
    <col min="1535" max="1535" width="1.1796875" style="3" customWidth="1"/>
    <col min="1536" max="1536" width="24.08984375" style="3" customWidth="1"/>
    <col min="1537" max="1537" width="6.90625" style="3" customWidth="1"/>
    <col min="1538" max="1539" width="8.08984375" style="3" customWidth="1"/>
    <col min="1540" max="1540" width="8.1796875" style="3" customWidth="1"/>
    <col min="1541" max="1541" width="7.81640625" style="3" customWidth="1"/>
    <col min="1542" max="1542" width="2.90625" style="3" customWidth="1"/>
    <col min="1543" max="1543" width="20.81640625" style="3" customWidth="1"/>
    <col min="1544" max="1544" width="16.1796875" style="3" customWidth="1"/>
    <col min="1545" max="1790" width="6.26953125" style="3"/>
    <col min="1791" max="1791" width="1.1796875" style="3" customWidth="1"/>
    <col min="1792" max="1792" width="24.08984375" style="3" customWidth="1"/>
    <col min="1793" max="1793" width="6.90625" style="3" customWidth="1"/>
    <col min="1794" max="1795" width="8.08984375" style="3" customWidth="1"/>
    <col min="1796" max="1796" width="8.1796875" style="3" customWidth="1"/>
    <col min="1797" max="1797" width="7.81640625" style="3" customWidth="1"/>
    <col min="1798" max="1798" width="2.90625" style="3" customWidth="1"/>
    <col min="1799" max="1799" width="20.81640625" style="3" customWidth="1"/>
    <col min="1800" max="1800" width="16.1796875" style="3" customWidth="1"/>
    <col min="1801" max="2046" width="6.26953125" style="3"/>
    <col min="2047" max="2047" width="1.1796875" style="3" customWidth="1"/>
    <col min="2048" max="2048" width="24.08984375" style="3" customWidth="1"/>
    <col min="2049" max="2049" width="6.90625" style="3" customWidth="1"/>
    <col min="2050" max="2051" width="8.08984375" style="3" customWidth="1"/>
    <col min="2052" max="2052" width="8.1796875" style="3" customWidth="1"/>
    <col min="2053" max="2053" width="7.81640625" style="3" customWidth="1"/>
    <col min="2054" max="2054" width="2.90625" style="3" customWidth="1"/>
    <col min="2055" max="2055" width="20.81640625" style="3" customWidth="1"/>
    <col min="2056" max="2056" width="16.1796875" style="3" customWidth="1"/>
    <col min="2057" max="2302" width="6.26953125" style="3"/>
    <col min="2303" max="2303" width="1.1796875" style="3" customWidth="1"/>
    <col min="2304" max="2304" width="24.08984375" style="3" customWidth="1"/>
    <col min="2305" max="2305" width="6.90625" style="3" customWidth="1"/>
    <col min="2306" max="2307" width="8.08984375" style="3" customWidth="1"/>
    <col min="2308" max="2308" width="8.1796875" style="3" customWidth="1"/>
    <col min="2309" max="2309" width="7.81640625" style="3" customWidth="1"/>
    <col min="2310" max="2310" width="2.90625" style="3" customWidth="1"/>
    <col min="2311" max="2311" width="20.81640625" style="3" customWidth="1"/>
    <col min="2312" max="2312" width="16.1796875" style="3" customWidth="1"/>
    <col min="2313" max="2558" width="6.26953125" style="3"/>
    <col min="2559" max="2559" width="1.1796875" style="3" customWidth="1"/>
    <col min="2560" max="2560" width="24.08984375" style="3" customWidth="1"/>
    <col min="2561" max="2561" width="6.90625" style="3" customWidth="1"/>
    <col min="2562" max="2563" width="8.08984375" style="3" customWidth="1"/>
    <col min="2564" max="2564" width="8.1796875" style="3" customWidth="1"/>
    <col min="2565" max="2565" width="7.81640625" style="3" customWidth="1"/>
    <col min="2566" max="2566" width="2.90625" style="3" customWidth="1"/>
    <col min="2567" max="2567" width="20.81640625" style="3" customWidth="1"/>
    <col min="2568" max="2568" width="16.1796875" style="3" customWidth="1"/>
    <col min="2569" max="2814" width="6.26953125" style="3"/>
    <col min="2815" max="2815" width="1.1796875" style="3" customWidth="1"/>
    <col min="2816" max="2816" width="24.08984375" style="3" customWidth="1"/>
    <col min="2817" max="2817" width="6.90625" style="3" customWidth="1"/>
    <col min="2818" max="2819" width="8.08984375" style="3" customWidth="1"/>
    <col min="2820" max="2820" width="8.1796875" style="3" customWidth="1"/>
    <col min="2821" max="2821" width="7.81640625" style="3" customWidth="1"/>
    <col min="2822" max="2822" width="2.90625" style="3" customWidth="1"/>
    <col min="2823" max="2823" width="20.81640625" style="3" customWidth="1"/>
    <col min="2824" max="2824" width="16.1796875" style="3" customWidth="1"/>
    <col min="2825" max="3070" width="6.26953125" style="3"/>
    <col min="3071" max="3071" width="1.1796875" style="3" customWidth="1"/>
    <col min="3072" max="3072" width="24.08984375" style="3" customWidth="1"/>
    <col min="3073" max="3073" width="6.90625" style="3" customWidth="1"/>
    <col min="3074" max="3075" width="8.08984375" style="3" customWidth="1"/>
    <col min="3076" max="3076" width="8.1796875" style="3" customWidth="1"/>
    <col min="3077" max="3077" width="7.81640625" style="3" customWidth="1"/>
    <col min="3078" max="3078" width="2.90625" style="3" customWidth="1"/>
    <col min="3079" max="3079" width="20.81640625" style="3" customWidth="1"/>
    <col min="3080" max="3080" width="16.1796875" style="3" customWidth="1"/>
    <col min="3081" max="3326" width="6.26953125" style="3"/>
    <col min="3327" max="3327" width="1.1796875" style="3" customWidth="1"/>
    <col min="3328" max="3328" width="24.08984375" style="3" customWidth="1"/>
    <col min="3329" max="3329" width="6.90625" style="3" customWidth="1"/>
    <col min="3330" max="3331" width="8.08984375" style="3" customWidth="1"/>
    <col min="3332" max="3332" width="8.1796875" style="3" customWidth="1"/>
    <col min="3333" max="3333" width="7.81640625" style="3" customWidth="1"/>
    <col min="3334" max="3334" width="2.90625" style="3" customWidth="1"/>
    <col min="3335" max="3335" width="20.81640625" style="3" customWidth="1"/>
    <col min="3336" max="3336" width="16.1796875" style="3" customWidth="1"/>
    <col min="3337" max="3582" width="6.26953125" style="3"/>
    <col min="3583" max="3583" width="1.1796875" style="3" customWidth="1"/>
    <col min="3584" max="3584" width="24.08984375" style="3" customWidth="1"/>
    <col min="3585" max="3585" width="6.90625" style="3" customWidth="1"/>
    <col min="3586" max="3587" width="8.08984375" style="3" customWidth="1"/>
    <col min="3588" max="3588" width="8.1796875" style="3" customWidth="1"/>
    <col min="3589" max="3589" width="7.81640625" style="3" customWidth="1"/>
    <col min="3590" max="3590" width="2.90625" style="3" customWidth="1"/>
    <col min="3591" max="3591" width="20.81640625" style="3" customWidth="1"/>
    <col min="3592" max="3592" width="16.1796875" style="3" customWidth="1"/>
    <col min="3593" max="3838" width="6.26953125" style="3"/>
    <col min="3839" max="3839" width="1.1796875" style="3" customWidth="1"/>
    <col min="3840" max="3840" width="24.08984375" style="3" customWidth="1"/>
    <col min="3841" max="3841" width="6.90625" style="3" customWidth="1"/>
    <col min="3842" max="3843" width="8.08984375" style="3" customWidth="1"/>
    <col min="3844" max="3844" width="8.1796875" style="3" customWidth="1"/>
    <col min="3845" max="3845" width="7.81640625" style="3" customWidth="1"/>
    <col min="3846" max="3846" width="2.90625" style="3" customWidth="1"/>
    <col min="3847" max="3847" width="20.81640625" style="3" customWidth="1"/>
    <col min="3848" max="3848" width="16.1796875" style="3" customWidth="1"/>
    <col min="3849" max="4094" width="6.26953125" style="3"/>
    <col min="4095" max="4095" width="1.1796875" style="3" customWidth="1"/>
    <col min="4096" max="4096" width="24.08984375" style="3" customWidth="1"/>
    <col min="4097" max="4097" width="6.90625" style="3" customWidth="1"/>
    <col min="4098" max="4099" width="8.08984375" style="3" customWidth="1"/>
    <col min="4100" max="4100" width="8.1796875" style="3" customWidth="1"/>
    <col min="4101" max="4101" width="7.81640625" style="3" customWidth="1"/>
    <col min="4102" max="4102" width="2.90625" style="3" customWidth="1"/>
    <col min="4103" max="4103" width="20.81640625" style="3" customWidth="1"/>
    <col min="4104" max="4104" width="16.1796875" style="3" customWidth="1"/>
    <col min="4105" max="4350" width="6.26953125" style="3"/>
    <col min="4351" max="4351" width="1.1796875" style="3" customWidth="1"/>
    <col min="4352" max="4352" width="24.08984375" style="3" customWidth="1"/>
    <col min="4353" max="4353" width="6.90625" style="3" customWidth="1"/>
    <col min="4354" max="4355" width="8.08984375" style="3" customWidth="1"/>
    <col min="4356" max="4356" width="8.1796875" style="3" customWidth="1"/>
    <col min="4357" max="4357" width="7.81640625" style="3" customWidth="1"/>
    <col min="4358" max="4358" width="2.90625" style="3" customWidth="1"/>
    <col min="4359" max="4359" width="20.81640625" style="3" customWidth="1"/>
    <col min="4360" max="4360" width="16.1796875" style="3" customWidth="1"/>
    <col min="4361" max="4606" width="6.26953125" style="3"/>
    <col min="4607" max="4607" width="1.1796875" style="3" customWidth="1"/>
    <col min="4608" max="4608" width="24.08984375" style="3" customWidth="1"/>
    <col min="4609" max="4609" width="6.90625" style="3" customWidth="1"/>
    <col min="4610" max="4611" width="8.08984375" style="3" customWidth="1"/>
    <col min="4612" max="4612" width="8.1796875" style="3" customWidth="1"/>
    <col min="4613" max="4613" width="7.81640625" style="3" customWidth="1"/>
    <col min="4614" max="4614" width="2.90625" style="3" customWidth="1"/>
    <col min="4615" max="4615" width="20.81640625" style="3" customWidth="1"/>
    <col min="4616" max="4616" width="16.1796875" style="3" customWidth="1"/>
    <col min="4617" max="4862" width="6.26953125" style="3"/>
    <col min="4863" max="4863" width="1.1796875" style="3" customWidth="1"/>
    <col min="4864" max="4864" width="24.08984375" style="3" customWidth="1"/>
    <col min="4865" max="4865" width="6.90625" style="3" customWidth="1"/>
    <col min="4866" max="4867" width="8.08984375" style="3" customWidth="1"/>
    <col min="4868" max="4868" width="8.1796875" style="3" customWidth="1"/>
    <col min="4869" max="4869" width="7.81640625" style="3" customWidth="1"/>
    <col min="4870" max="4870" width="2.90625" style="3" customWidth="1"/>
    <col min="4871" max="4871" width="20.81640625" style="3" customWidth="1"/>
    <col min="4872" max="4872" width="16.1796875" style="3" customWidth="1"/>
    <col min="4873" max="5118" width="6.26953125" style="3"/>
    <col min="5119" max="5119" width="1.1796875" style="3" customWidth="1"/>
    <col min="5120" max="5120" width="24.08984375" style="3" customWidth="1"/>
    <col min="5121" max="5121" width="6.90625" style="3" customWidth="1"/>
    <col min="5122" max="5123" width="8.08984375" style="3" customWidth="1"/>
    <col min="5124" max="5124" width="8.1796875" style="3" customWidth="1"/>
    <col min="5125" max="5125" width="7.81640625" style="3" customWidth="1"/>
    <col min="5126" max="5126" width="2.90625" style="3" customWidth="1"/>
    <col min="5127" max="5127" width="20.81640625" style="3" customWidth="1"/>
    <col min="5128" max="5128" width="16.1796875" style="3" customWidth="1"/>
    <col min="5129" max="5374" width="6.26953125" style="3"/>
    <col min="5375" max="5375" width="1.1796875" style="3" customWidth="1"/>
    <col min="5376" max="5376" width="24.08984375" style="3" customWidth="1"/>
    <col min="5377" max="5377" width="6.90625" style="3" customWidth="1"/>
    <col min="5378" max="5379" width="8.08984375" style="3" customWidth="1"/>
    <col min="5380" max="5380" width="8.1796875" style="3" customWidth="1"/>
    <col min="5381" max="5381" width="7.81640625" style="3" customWidth="1"/>
    <col min="5382" max="5382" width="2.90625" style="3" customWidth="1"/>
    <col min="5383" max="5383" width="20.81640625" style="3" customWidth="1"/>
    <col min="5384" max="5384" width="16.1796875" style="3" customWidth="1"/>
    <col min="5385" max="5630" width="6.26953125" style="3"/>
    <col min="5631" max="5631" width="1.1796875" style="3" customWidth="1"/>
    <col min="5632" max="5632" width="24.08984375" style="3" customWidth="1"/>
    <col min="5633" max="5633" width="6.90625" style="3" customWidth="1"/>
    <col min="5634" max="5635" width="8.08984375" style="3" customWidth="1"/>
    <col min="5636" max="5636" width="8.1796875" style="3" customWidth="1"/>
    <col min="5637" max="5637" width="7.81640625" style="3" customWidth="1"/>
    <col min="5638" max="5638" width="2.90625" style="3" customWidth="1"/>
    <col min="5639" max="5639" width="20.81640625" style="3" customWidth="1"/>
    <col min="5640" max="5640" width="16.1796875" style="3" customWidth="1"/>
    <col min="5641" max="5886" width="6.26953125" style="3"/>
    <col min="5887" max="5887" width="1.1796875" style="3" customWidth="1"/>
    <col min="5888" max="5888" width="24.08984375" style="3" customWidth="1"/>
    <col min="5889" max="5889" width="6.90625" style="3" customWidth="1"/>
    <col min="5890" max="5891" width="8.08984375" style="3" customWidth="1"/>
    <col min="5892" max="5892" width="8.1796875" style="3" customWidth="1"/>
    <col min="5893" max="5893" width="7.81640625" style="3" customWidth="1"/>
    <col min="5894" max="5894" width="2.90625" style="3" customWidth="1"/>
    <col min="5895" max="5895" width="20.81640625" style="3" customWidth="1"/>
    <col min="5896" max="5896" width="16.1796875" style="3" customWidth="1"/>
    <col min="5897" max="6142" width="6.26953125" style="3"/>
    <col min="6143" max="6143" width="1.1796875" style="3" customWidth="1"/>
    <col min="6144" max="6144" width="24.08984375" style="3" customWidth="1"/>
    <col min="6145" max="6145" width="6.90625" style="3" customWidth="1"/>
    <col min="6146" max="6147" width="8.08984375" style="3" customWidth="1"/>
    <col min="6148" max="6148" width="8.1796875" style="3" customWidth="1"/>
    <col min="6149" max="6149" width="7.81640625" style="3" customWidth="1"/>
    <col min="6150" max="6150" width="2.90625" style="3" customWidth="1"/>
    <col min="6151" max="6151" width="20.81640625" style="3" customWidth="1"/>
    <col min="6152" max="6152" width="16.1796875" style="3" customWidth="1"/>
    <col min="6153" max="6398" width="6.26953125" style="3"/>
    <col min="6399" max="6399" width="1.1796875" style="3" customWidth="1"/>
    <col min="6400" max="6400" width="24.08984375" style="3" customWidth="1"/>
    <col min="6401" max="6401" width="6.90625" style="3" customWidth="1"/>
    <col min="6402" max="6403" width="8.08984375" style="3" customWidth="1"/>
    <col min="6404" max="6404" width="8.1796875" style="3" customWidth="1"/>
    <col min="6405" max="6405" width="7.81640625" style="3" customWidth="1"/>
    <col min="6406" max="6406" width="2.90625" style="3" customWidth="1"/>
    <col min="6407" max="6407" width="20.81640625" style="3" customWidth="1"/>
    <col min="6408" max="6408" width="16.1796875" style="3" customWidth="1"/>
    <col min="6409" max="6654" width="6.26953125" style="3"/>
    <col min="6655" max="6655" width="1.1796875" style="3" customWidth="1"/>
    <col min="6656" max="6656" width="24.08984375" style="3" customWidth="1"/>
    <col min="6657" max="6657" width="6.90625" style="3" customWidth="1"/>
    <col min="6658" max="6659" width="8.08984375" style="3" customWidth="1"/>
    <col min="6660" max="6660" width="8.1796875" style="3" customWidth="1"/>
    <col min="6661" max="6661" width="7.81640625" style="3" customWidth="1"/>
    <col min="6662" max="6662" width="2.90625" style="3" customWidth="1"/>
    <col min="6663" max="6663" width="20.81640625" style="3" customWidth="1"/>
    <col min="6664" max="6664" width="16.1796875" style="3" customWidth="1"/>
    <col min="6665" max="6910" width="6.26953125" style="3"/>
    <col min="6911" max="6911" width="1.1796875" style="3" customWidth="1"/>
    <col min="6912" max="6912" width="24.08984375" style="3" customWidth="1"/>
    <col min="6913" max="6913" width="6.90625" style="3" customWidth="1"/>
    <col min="6914" max="6915" width="8.08984375" style="3" customWidth="1"/>
    <col min="6916" max="6916" width="8.1796875" style="3" customWidth="1"/>
    <col min="6917" max="6917" width="7.81640625" style="3" customWidth="1"/>
    <col min="6918" max="6918" width="2.90625" style="3" customWidth="1"/>
    <col min="6919" max="6919" width="20.81640625" style="3" customWidth="1"/>
    <col min="6920" max="6920" width="16.1796875" style="3" customWidth="1"/>
    <col min="6921" max="7166" width="6.26953125" style="3"/>
    <col min="7167" max="7167" width="1.1796875" style="3" customWidth="1"/>
    <col min="7168" max="7168" width="24.08984375" style="3" customWidth="1"/>
    <col min="7169" max="7169" width="6.90625" style="3" customWidth="1"/>
    <col min="7170" max="7171" width="8.08984375" style="3" customWidth="1"/>
    <col min="7172" max="7172" width="8.1796875" style="3" customWidth="1"/>
    <col min="7173" max="7173" width="7.81640625" style="3" customWidth="1"/>
    <col min="7174" max="7174" width="2.90625" style="3" customWidth="1"/>
    <col min="7175" max="7175" width="20.81640625" style="3" customWidth="1"/>
    <col min="7176" max="7176" width="16.1796875" style="3" customWidth="1"/>
    <col min="7177" max="7422" width="6.26953125" style="3"/>
    <col min="7423" max="7423" width="1.1796875" style="3" customWidth="1"/>
    <col min="7424" max="7424" width="24.08984375" style="3" customWidth="1"/>
    <col min="7425" max="7425" width="6.90625" style="3" customWidth="1"/>
    <col min="7426" max="7427" width="8.08984375" style="3" customWidth="1"/>
    <col min="7428" max="7428" width="8.1796875" style="3" customWidth="1"/>
    <col min="7429" max="7429" width="7.81640625" style="3" customWidth="1"/>
    <col min="7430" max="7430" width="2.90625" style="3" customWidth="1"/>
    <col min="7431" max="7431" width="20.81640625" style="3" customWidth="1"/>
    <col min="7432" max="7432" width="16.1796875" style="3" customWidth="1"/>
    <col min="7433" max="7678" width="6.26953125" style="3"/>
    <col min="7679" max="7679" width="1.1796875" style="3" customWidth="1"/>
    <col min="7680" max="7680" width="24.08984375" style="3" customWidth="1"/>
    <col min="7681" max="7681" width="6.90625" style="3" customWidth="1"/>
    <col min="7682" max="7683" width="8.08984375" style="3" customWidth="1"/>
    <col min="7684" max="7684" width="8.1796875" style="3" customWidth="1"/>
    <col min="7685" max="7685" width="7.81640625" style="3" customWidth="1"/>
    <col min="7686" max="7686" width="2.90625" style="3" customWidth="1"/>
    <col min="7687" max="7687" width="20.81640625" style="3" customWidth="1"/>
    <col min="7688" max="7688" width="16.1796875" style="3" customWidth="1"/>
    <col min="7689" max="7934" width="6.26953125" style="3"/>
    <col min="7935" max="7935" width="1.1796875" style="3" customWidth="1"/>
    <col min="7936" max="7936" width="24.08984375" style="3" customWidth="1"/>
    <col min="7937" max="7937" width="6.90625" style="3" customWidth="1"/>
    <col min="7938" max="7939" width="8.08984375" style="3" customWidth="1"/>
    <col min="7940" max="7940" width="8.1796875" style="3" customWidth="1"/>
    <col min="7941" max="7941" width="7.81640625" style="3" customWidth="1"/>
    <col min="7942" max="7942" width="2.90625" style="3" customWidth="1"/>
    <col min="7943" max="7943" width="20.81640625" style="3" customWidth="1"/>
    <col min="7944" max="7944" width="16.1796875" style="3" customWidth="1"/>
    <col min="7945" max="8190" width="6.26953125" style="3"/>
    <col min="8191" max="8191" width="1.1796875" style="3" customWidth="1"/>
    <col min="8192" max="8192" width="24.08984375" style="3" customWidth="1"/>
    <col min="8193" max="8193" width="6.90625" style="3" customWidth="1"/>
    <col min="8194" max="8195" width="8.08984375" style="3" customWidth="1"/>
    <col min="8196" max="8196" width="8.1796875" style="3" customWidth="1"/>
    <col min="8197" max="8197" width="7.81640625" style="3" customWidth="1"/>
    <col min="8198" max="8198" width="2.90625" style="3" customWidth="1"/>
    <col min="8199" max="8199" width="20.81640625" style="3" customWidth="1"/>
    <col min="8200" max="8200" width="16.1796875" style="3" customWidth="1"/>
    <col min="8201" max="8446" width="6.26953125" style="3"/>
    <col min="8447" max="8447" width="1.1796875" style="3" customWidth="1"/>
    <col min="8448" max="8448" width="24.08984375" style="3" customWidth="1"/>
    <col min="8449" max="8449" width="6.90625" style="3" customWidth="1"/>
    <col min="8450" max="8451" width="8.08984375" style="3" customWidth="1"/>
    <col min="8452" max="8452" width="8.1796875" style="3" customWidth="1"/>
    <col min="8453" max="8453" width="7.81640625" style="3" customWidth="1"/>
    <col min="8454" max="8454" width="2.90625" style="3" customWidth="1"/>
    <col min="8455" max="8455" width="20.81640625" style="3" customWidth="1"/>
    <col min="8456" max="8456" width="16.1796875" style="3" customWidth="1"/>
    <col min="8457" max="8702" width="6.26953125" style="3"/>
    <col min="8703" max="8703" width="1.1796875" style="3" customWidth="1"/>
    <col min="8704" max="8704" width="24.08984375" style="3" customWidth="1"/>
    <col min="8705" max="8705" width="6.90625" style="3" customWidth="1"/>
    <col min="8706" max="8707" width="8.08984375" style="3" customWidth="1"/>
    <col min="8708" max="8708" width="8.1796875" style="3" customWidth="1"/>
    <col min="8709" max="8709" width="7.81640625" style="3" customWidth="1"/>
    <col min="8710" max="8710" width="2.90625" style="3" customWidth="1"/>
    <col min="8711" max="8711" width="20.81640625" style="3" customWidth="1"/>
    <col min="8712" max="8712" width="16.1796875" style="3" customWidth="1"/>
    <col min="8713" max="8958" width="6.26953125" style="3"/>
    <col min="8959" max="8959" width="1.1796875" style="3" customWidth="1"/>
    <col min="8960" max="8960" width="24.08984375" style="3" customWidth="1"/>
    <col min="8961" max="8961" width="6.90625" style="3" customWidth="1"/>
    <col min="8962" max="8963" width="8.08984375" style="3" customWidth="1"/>
    <col min="8964" max="8964" width="8.1796875" style="3" customWidth="1"/>
    <col min="8965" max="8965" width="7.81640625" style="3" customWidth="1"/>
    <col min="8966" max="8966" width="2.90625" style="3" customWidth="1"/>
    <col min="8967" max="8967" width="20.81640625" style="3" customWidth="1"/>
    <col min="8968" max="8968" width="16.1796875" style="3" customWidth="1"/>
    <col min="8969" max="9214" width="6.26953125" style="3"/>
    <col min="9215" max="9215" width="1.1796875" style="3" customWidth="1"/>
    <col min="9216" max="9216" width="24.08984375" style="3" customWidth="1"/>
    <col min="9217" max="9217" width="6.90625" style="3" customWidth="1"/>
    <col min="9218" max="9219" width="8.08984375" style="3" customWidth="1"/>
    <col min="9220" max="9220" width="8.1796875" style="3" customWidth="1"/>
    <col min="9221" max="9221" width="7.81640625" style="3" customWidth="1"/>
    <col min="9222" max="9222" width="2.90625" style="3" customWidth="1"/>
    <col min="9223" max="9223" width="20.81640625" style="3" customWidth="1"/>
    <col min="9224" max="9224" width="16.1796875" style="3" customWidth="1"/>
    <col min="9225" max="9470" width="6.26953125" style="3"/>
    <col min="9471" max="9471" width="1.1796875" style="3" customWidth="1"/>
    <col min="9472" max="9472" width="24.08984375" style="3" customWidth="1"/>
    <col min="9473" max="9473" width="6.90625" style="3" customWidth="1"/>
    <col min="9474" max="9475" width="8.08984375" style="3" customWidth="1"/>
    <col min="9476" max="9476" width="8.1796875" style="3" customWidth="1"/>
    <col min="9477" max="9477" width="7.81640625" style="3" customWidth="1"/>
    <col min="9478" max="9478" width="2.90625" style="3" customWidth="1"/>
    <col min="9479" max="9479" width="20.81640625" style="3" customWidth="1"/>
    <col min="9480" max="9480" width="16.1796875" style="3" customWidth="1"/>
    <col min="9481" max="9726" width="6.26953125" style="3"/>
    <col min="9727" max="9727" width="1.1796875" style="3" customWidth="1"/>
    <col min="9728" max="9728" width="24.08984375" style="3" customWidth="1"/>
    <col min="9729" max="9729" width="6.90625" style="3" customWidth="1"/>
    <col min="9730" max="9731" width="8.08984375" style="3" customWidth="1"/>
    <col min="9732" max="9732" width="8.1796875" style="3" customWidth="1"/>
    <col min="9733" max="9733" width="7.81640625" style="3" customWidth="1"/>
    <col min="9734" max="9734" width="2.90625" style="3" customWidth="1"/>
    <col min="9735" max="9735" width="20.81640625" style="3" customWidth="1"/>
    <col min="9736" max="9736" width="16.1796875" style="3" customWidth="1"/>
    <col min="9737" max="9982" width="6.26953125" style="3"/>
    <col min="9983" max="9983" width="1.1796875" style="3" customWidth="1"/>
    <col min="9984" max="9984" width="24.08984375" style="3" customWidth="1"/>
    <col min="9985" max="9985" width="6.90625" style="3" customWidth="1"/>
    <col min="9986" max="9987" width="8.08984375" style="3" customWidth="1"/>
    <col min="9988" max="9988" width="8.1796875" style="3" customWidth="1"/>
    <col min="9989" max="9989" width="7.81640625" style="3" customWidth="1"/>
    <col min="9990" max="9990" width="2.90625" style="3" customWidth="1"/>
    <col min="9991" max="9991" width="20.81640625" style="3" customWidth="1"/>
    <col min="9992" max="9992" width="16.1796875" style="3" customWidth="1"/>
    <col min="9993" max="10238" width="6.26953125" style="3"/>
    <col min="10239" max="10239" width="1.1796875" style="3" customWidth="1"/>
    <col min="10240" max="10240" width="24.08984375" style="3" customWidth="1"/>
    <col min="10241" max="10241" width="6.90625" style="3" customWidth="1"/>
    <col min="10242" max="10243" width="8.08984375" style="3" customWidth="1"/>
    <col min="10244" max="10244" width="8.1796875" style="3" customWidth="1"/>
    <col min="10245" max="10245" width="7.81640625" style="3" customWidth="1"/>
    <col min="10246" max="10246" width="2.90625" style="3" customWidth="1"/>
    <col min="10247" max="10247" width="20.81640625" style="3" customWidth="1"/>
    <col min="10248" max="10248" width="16.1796875" style="3" customWidth="1"/>
    <col min="10249" max="10494" width="6.26953125" style="3"/>
    <col min="10495" max="10495" width="1.1796875" style="3" customWidth="1"/>
    <col min="10496" max="10496" width="24.08984375" style="3" customWidth="1"/>
    <col min="10497" max="10497" width="6.90625" style="3" customWidth="1"/>
    <col min="10498" max="10499" width="8.08984375" style="3" customWidth="1"/>
    <col min="10500" max="10500" width="8.1796875" style="3" customWidth="1"/>
    <col min="10501" max="10501" width="7.81640625" style="3" customWidth="1"/>
    <col min="10502" max="10502" width="2.90625" style="3" customWidth="1"/>
    <col min="10503" max="10503" width="20.81640625" style="3" customWidth="1"/>
    <col min="10504" max="10504" width="16.1796875" style="3" customWidth="1"/>
    <col min="10505" max="10750" width="6.26953125" style="3"/>
    <col min="10751" max="10751" width="1.1796875" style="3" customWidth="1"/>
    <col min="10752" max="10752" width="24.08984375" style="3" customWidth="1"/>
    <col min="10753" max="10753" width="6.90625" style="3" customWidth="1"/>
    <col min="10754" max="10755" width="8.08984375" style="3" customWidth="1"/>
    <col min="10756" max="10756" width="8.1796875" style="3" customWidth="1"/>
    <col min="10757" max="10757" width="7.81640625" style="3" customWidth="1"/>
    <col min="10758" max="10758" width="2.90625" style="3" customWidth="1"/>
    <col min="10759" max="10759" width="20.81640625" style="3" customWidth="1"/>
    <col min="10760" max="10760" width="16.1796875" style="3" customWidth="1"/>
    <col min="10761" max="11006" width="6.26953125" style="3"/>
    <col min="11007" max="11007" width="1.1796875" style="3" customWidth="1"/>
    <col min="11008" max="11008" width="24.08984375" style="3" customWidth="1"/>
    <col min="11009" max="11009" width="6.90625" style="3" customWidth="1"/>
    <col min="11010" max="11011" width="8.08984375" style="3" customWidth="1"/>
    <col min="11012" max="11012" width="8.1796875" style="3" customWidth="1"/>
    <col min="11013" max="11013" width="7.81640625" style="3" customWidth="1"/>
    <col min="11014" max="11014" width="2.90625" style="3" customWidth="1"/>
    <col min="11015" max="11015" width="20.81640625" style="3" customWidth="1"/>
    <col min="11016" max="11016" width="16.1796875" style="3" customWidth="1"/>
    <col min="11017" max="11262" width="6.26953125" style="3"/>
    <col min="11263" max="11263" width="1.1796875" style="3" customWidth="1"/>
    <col min="11264" max="11264" width="24.08984375" style="3" customWidth="1"/>
    <col min="11265" max="11265" width="6.90625" style="3" customWidth="1"/>
    <col min="11266" max="11267" width="8.08984375" style="3" customWidth="1"/>
    <col min="11268" max="11268" width="8.1796875" style="3" customWidth="1"/>
    <col min="11269" max="11269" width="7.81640625" style="3" customWidth="1"/>
    <col min="11270" max="11270" width="2.90625" style="3" customWidth="1"/>
    <col min="11271" max="11271" width="20.81640625" style="3" customWidth="1"/>
    <col min="11272" max="11272" width="16.1796875" style="3" customWidth="1"/>
    <col min="11273" max="11518" width="6.26953125" style="3"/>
    <col min="11519" max="11519" width="1.1796875" style="3" customWidth="1"/>
    <col min="11520" max="11520" width="24.08984375" style="3" customWidth="1"/>
    <col min="11521" max="11521" width="6.90625" style="3" customWidth="1"/>
    <col min="11522" max="11523" width="8.08984375" style="3" customWidth="1"/>
    <col min="11524" max="11524" width="8.1796875" style="3" customWidth="1"/>
    <col min="11525" max="11525" width="7.81640625" style="3" customWidth="1"/>
    <col min="11526" max="11526" width="2.90625" style="3" customWidth="1"/>
    <col min="11527" max="11527" width="20.81640625" style="3" customWidth="1"/>
    <col min="11528" max="11528" width="16.1796875" style="3" customWidth="1"/>
    <col min="11529" max="11774" width="6.26953125" style="3"/>
    <col min="11775" max="11775" width="1.1796875" style="3" customWidth="1"/>
    <col min="11776" max="11776" width="24.08984375" style="3" customWidth="1"/>
    <col min="11777" max="11777" width="6.90625" style="3" customWidth="1"/>
    <col min="11778" max="11779" width="8.08984375" style="3" customWidth="1"/>
    <col min="11780" max="11780" width="8.1796875" style="3" customWidth="1"/>
    <col min="11781" max="11781" width="7.81640625" style="3" customWidth="1"/>
    <col min="11782" max="11782" width="2.90625" style="3" customWidth="1"/>
    <col min="11783" max="11783" width="20.81640625" style="3" customWidth="1"/>
    <col min="11784" max="11784" width="16.1796875" style="3" customWidth="1"/>
    <col min="11785" max="12030" width="6.26953125" style="3"/>
    <col min="12031" max="12031" width="1.1796875" style="3" customWidth="1"/>
    <col min="12032" max="12032" width="24.08984375" style="3" customWidth="1"/>
    <col min="12033" max="12033" width="6.90625" style="3" customWidth="1"/>
    <col min="12034" max="12035" width="8.08984375" style="3" customWidth="1"/>
    <col min="12036" max="12036" width="8.1796875" style="3" customWidth="1"/>
    <col min="12037" max="12037" width="7.81640625" style="3" customWidth="1"/>
    <col min="12038" max="12038" width="2.90625" style="3" customWidth="1"/>
    <col min="12039" max="12039" width="20.81640625" style="3" customWidth="1"/>
    <col min="12040" max="12040" width="16.1796875" style="3" customWidth="1"/>
    <col min="12041" max="12286" width="6.26953125" style="3"/>
    <col min="12287" max="12287" width="1.1796875" style="3" customWidth="1"/>
    <col min="12288" max="12288" width="24.08984375" style="3" customWidth="1"/>
    <col min="12289" max="12289" width="6.90625" style="3" customWidth="1"/>
    <col min="12290" max="12291" width="8.08984375" style="3" customWidth="1"/>
    <col min="12292" max="12292" width="8.1796875" style="3" customWidth="1"/>
    <col min="12293" max="12293" width="7.81640625" style="3" customWidth="1"/>
    <col min="12294" max="12294" width="2.90625" style="3" customWidth="1"/>
    <col min="12295" max="12295" width="20.81640625" style="3" customWidth="1"/>
    <col min="12296" max="12296" width="16.1796875" style="3" customWidth="1"/>
    <col min="12297" max="12542" width="6.26953125" style="3"/>
    <col min="12543" max="12543" width="1.1796875" style="3" customWidth="1"/>
    <col min="12544" max="12544" width="24.08984375" style="3" customWidth="1"/>
    <col min="12545" max="12545" width="6.90625" style="3" customWidth="1"/>
    <col min="12546" max="12547" width="8.08984375" style="3" customWidth="1"/>
    <col min="12548" max="12548" width="8.1796875" style="3" customWidth="1"/>
    <col min="12549" max="12549" width="7.81640625" style="3" customWidth="1"/>
    <col min="12550" max="12550" width="2.90625" style="3" customWidth="1"/>
    <col min="12551" max="12551" width="20.81640625" style="3" customWidth="1"/>
    <col min="12552" max="12552" width="16.1796875" style="3" customWidth="1"/>
    <col min="12553" max="12798" width="6.26953125" style="3"/>
    <col min="12799" max="12799" width="1.1796875" style="3" customWidth="1"/>
    <col min="12800" max="12800" width="24.08984375" style="3" customWidth="1"/>
    <col min="12801" max="12801" width="6.90625" style="3" customWidth="1"/>
    <col min="12802" max="12803" width="8.08984375" style="3" customWidth="1"/>
    <col min="12804" max="12804" width="8.1796875" style="3" customWidth="1"/>
    <col min="12805" max="12805" width="7.81640625" style="3" customWidth="1"/>
    <col min="12806" max="12806" width="2.90625" style="3" customWidth="1"/>
    <col min="12807" max="12807" width="20.81640625" style="3" customWidth="1"/>
    <col min="12808" max="12808" width="16.1796875" style="3" customWidth="1"/>
    <col min="12809" max="13054" width="6.26953125" style="3"/>
    <col min="13055" max="13055" width="1.1796875" style="3" customWidth="1"/>
    <col min="13056" max="13056" width="24.08984375" style="3" customWidth="1"/>
    <col min="13057" max="13057" width="6.90625" style="3" customWidth="1"/>
    <col min="13058" max="13059" width="8.08984375" style="3" customWidth="1"/>
    <col min="13060" max="13060" width="8.1796875" style="3" customWidth="1"/>
    <col min="13061" max="13061" width="7.81640625" style="3" customWidth="1"/>
    <col min="13062" max="13062" width="2.90625" style="3" customWidth="1"/>
    <col min="13063" max="13063" width="20.81640625" style="3" customWidth="1"/>
    <col min="13064" max="13064" width="16.1796875" style="3" customWidth="1"/>
    <col min="13065" max="13310" width="6.26953125" style="3"/>
    <col min="13311" max="13311" width="1.1796875" style="3" customWidth="1"/>
    <col min="13312" max="13312" width="24.08984375" style="3" customWidth="1"/>
    <col min="13313" max="13313" width="6.90625" style="3" customWidth="1"/>
    <col min="13314" max="13315" width="8.08984375" style="3" customWidth="1"/>
    <col min="13316" max="13316" width="8.1796875" style="3" customWidth="1"/>
    <col min="13317" max="13317" width="7.81640625" style="3" customWidth="1"/>
    <col min="13318" max="13318" width="2.90625" style="3" customWidth="1"/>
    <col min="13319" max="13319" width="20.81640625" style="3" customWidth="1"/>
    <col min="13320" max="13320" width="16.1796875" style="3" customWidth="1"/>
    <col min="13321" max="13566" width="6.26953125" style="3"/>
    <col min="13567" max="13567" width="1.1796875" style="3" customWidth="1"/>
    <col min="13568" max="13568" width="24.08984375" style="3" customWidth="1"/>
    <col min="13569" max="13569" width="6.90625" style="3" customWidth="1"/>
    <col min="13570" max="13571" width="8.08984375" style="3" customWidth="1"/>
    <col min="13572" max="13572" width="8.1796875" style="3" customWidth="1"/>
    <col min="13573" max="13573" width="7.81640625" style="3" customWidth="1"/>
    <col min="13574" max="13574" width="2.90625" style="3" customWidth="1"/>
    <col min="13575" max="13575" width="20.81640625" style="3" customWidth="1"/>
    <col min="13576" max="13576" width="16.1796875" style="3" customWidth="1"/>
    <col min="13577" max="13822" width="6.26953125" style="3"/>
    <col min="13823" max="13823" width="1.1796875" style="3" customWidth="1"/>
    <col min="13824" max="13824" width="24.08984375" style="3" customWidth="1"/>
    <col min="13825" max="13825" width="6.90625" style="3" customWidth="1"/>
    <col min="13826" max="13827" width="8.08984375" style="3" customWidth="1"/>
    <col min="13828" max="13828" width="8.1796875" style="3" customWidth="1"/>
    <col min="13829" max="13829" width="7.81640625" style="3" customWidth="1"/>
    <col min="13830" max="13830" width="2.90625" style="3" customWidth="1"/>
    <col min="13831" max="13831" width="20.81640625" style="3" customWidth="1"/>
    <col min="13832" max="13832" width="16.1796875" style="3" customWidth="1"/>
    <col min="13833" max="14078" width="6.26953125" style="3"/>
    <col min="14079" max="14079" width="1.1796875" style="3" customWidth="1"/>
    <col min="14080" max="14080" width="24.08984375" style="3" customWidth="1"/>
    <col min="14081" max="14081" width="6.90625" style="3" customWidth="1"/>
    <col min="14082" max="14083" width="8.08984375" style="3" customWidth="1"/>
    <col min="14084" max="14084" width="8.1796875" style="3" customWidth="1"/>
    <col min="14085" max="14085" width="7.81640625" style="3" customWidth="1"/>
    <col min="14086" max="14086" width="2.90625" style="3" customWidth="1"/>
    <col min="14087" max="14087" width="20.81640625" style="3" customWidth="1"/>
    <col min="14088" max="14088" width="16.1796875" style="3" customWidth="1"/>
    <col min="14089" max="14334" width="6.26953125" style="3"/>
    <col min="14335" max="14335" width="1.1796875" style="3" customWidth="1"/>
    <col min="14336" max="14336" width="24.08984375" style="3" customWidth="1"/>
    <col min="14337" max="14337" width="6.90625" style="3" customWidth="1"/>
    <col min="14338" max="14339" width="8.08984375" style="3" customWidth="1"/>
    <col min="14340" max="14340" width="8.1796875" style="3" customWidth="1"/>
    <col min="14341" max="14341" width="7.81640625" style="3" customWidth="1"/>
    <col min="14342" max="14342" width="2.90625" style="3" customWidth="1"/>
    <col min="14343" max="14343" width="20.81640625" style="3" customWidth="1"/>
    <col min="14344" max="14344" width="16.1796875" style="3" customWidth="1"/>
    <col min="14345" max="14590" width="6.26953125" style="3"/>
    <col min="14591" max="14591" width="1.1796875" style="3" customWidth="1"/>
    <col min="14592" max="14592" width="24.08984375" style="3" customWidth="1"/>
    <col min="14593" max="14593" width="6.90625" style="3" customWidth="1"/>
    <col min="14594" max="14595" width="8.08984375" style="3" customWidth="1"/>
    <col min="14596" max="14596" width="8.1796875" style="3" customWidth="1"/>
    <col min="14597" max="14597" width="7.81640625" style="3" customWidth="1"/>
    <col min="14598" max="14598" width="2.90625" style="3" customWidth="1"/>
    <col min="14599" max="14599" width="20.81640625" style="3" customWidth="1"/>
    <col min="14600" max="14600" width="16.1796875" style="3" customWidth="1"/>
    <col min="14601" max="14846" width="6.26953125" style="3"/>
    <col min="14847" max="14847" width="1.1796875" style="3" customWidth="1"/>
    <col min="14848" max="14848" width="24.08984375" style="3" customWidth="1"/>
    <col min="14849" max="14849" width="6.90625" style="3" customWidth="1"/>
    <col min="14850" max="14851" width="8.08984375" style="3" customWidth="1"/>
    <col min="14852" max="14852" width="8.1796875" style="3" customWidth="1"/>
    <col min="14853" max="14853" width="7.81640625" style="3" customWidth="1"/>
    <col min="14854" max="14854" width="2.90625" style="3" customWidth="1"/>
    <col min="14855" max="14855" width="20.81640625" style="3" customWidth="1"/>
    <col min="14856" max="14856" width="16.1796875" style="3" customWidth="1"/>
    <col min="14857" max="15102" width="6.26953125" style="3"/>
    <col min="15103" max="15103" width="1.1796875" style="3" customWidth="1"/>
    <col min="15104" max="15104" width="24.08984375" style="3" customWidth="1"/>
    <col min="15105" max="15105" width="6.90625" style="3" customWidth="1"/>
    <col min="15106" max="15107" width="8.08984375" style="3" customWidth="1"/>
    <col min="15108" max="15108" width="8.1796875" style="3" customWidth="1"/>
    <col min="15109" max="15109" width="7.81640625" style="3" customWidth="1"/>
    <col min="15110" max="15110" width="2.90625" style="3" customWidth="1"/>
    <col min="15111" max="15111" width="20.81640625" style="3" customWidth="1"/>
    <col min="15112" max="15112" width="16.1796875" style="3" customWidth="1"/>
    <col min="15113" max="15358" width="6.26953125" style="3"/>
    <col min="15359" max="15359" width="1.1796875" style="3" customWidth="1"/>
    <col min="15360" max="15360" width="24.08984375" style="3" customWidth="1"/>
    <col min="15361" max="15361" width="6.90625" style="3" customWidth="1"/>
    <col min="15362" max="15363" width="8.08984375" style="3" customWidth="1"/>
    <col min="15364" max="15364" width="8.1796875" style="3" customWidth="1"/>
    <col min="15365" max="15365" width="7.81640625" style="3" customWidth="1"/>
    <col min="15366" max="15366" width="2.90625" style="3" customWidth="1"/>
    <col min="15367" max="15367" width="20.81640625" style="3" customWidth="1"/>
    <col min="15368" max="15368" width="16.1796875" style="3" customWidth="1"/>
    <col min="15369" max="15614" width="6.26953125" style="3"/>
    <col min="15615" max="15615" width="1.1796875" style="3" customWidth="1"/>
    <col min="15616" max="15616" width="24.08984375" style="3" customWidth="1"/>
    <col min="15617" max="15617" width="6.90625" style="3" customWidth="1"/>
    <col min="15618" max="15619" width="8.08984375" style="3" customWidth="1"/>
    <col min="15620" max="15620" width="8.1796875" style="3" customWidth="1"/>
    <col min="15621" max="15621" width="7.81640625" style="3" customWidth="1"/>
    <col min="15622" max="15622" width="2.90625" style="3" customWidth="1"/>
    <col min="15623" max="15623" width="20.81640625" style="3" customWidth="1"/>
    <col min="15624" max="15624" width="16.1796875" style="3" customWidth="1"/>
    <col min="15625" max="15870" width="6.26953125" style="3"/>
    <col min="15871" max="15871" width="1.1796875" style="3" customWidth="1"/>
    <col min="15872" max="15872" width="24.08984375" style="3" customWidth="1"/>
    <col min="15873" max="15873" width="6.90625" style="3" customWidth="1"/>
    <col min="15874" max="15875" width="8.08984375" style="3" customWidth="1"/>
    <col min="15876" max="15876" width="8.1796875" style="3" customWidth="1"/>
    <col min="15877" max="15877" width="7.81640625" style="3" customWidth="1"/>
    <col min="15878" max="15878" width="2.90625" style="3" customWidth="1"/>
    <col min="15879" max="15879" width="20.81640625" style="3" customWidth="1"/>
    <col min="15880" max="15880" width="16.1796875" style="3" customWidth="1"/>
    <col min="15881" max="16126" width="6.26953125" style="3"/>
    <col min="16127" max="16127" width="1.1796875" style="3" customWidth="1"/>
    <col min="16128" max="16128" width="24.08984375" style="3" customWidth="1"/>
    <col min="16129" max="16129" width="6.90625" style="3" customWidth="1"/>
    <col min="16130" max="16131" width="8.08984375" style="3" customWidth="1"/>
    <col min="16132" max="16132" width="8.1796875" style="3" customWidth="1"/>
    <col min="16133" max="16133" width="7.81640625" style="3" customWidth="1"/>
    <col min="16134" max="16134" width="2.90625" style="3" customWidth="1"/>
    <col min="16135" max="16135" width="20.81640625" style="3" customWidth="1"/>
    <col min="16136" max="16136" width="16.1796875" style="3" customWidth="1"/>
    <col min="16137" max="16384" width="6.26953125" style="3"/>
  </cols>
  <sheetData>
    <row r="1" spans="1:10" s="2" customFormat="1" ht="38.25" x14ac:dyDescent="0.6">
      <c r="A1" s="90" t="s">
        <v>122</v>
      </c>
      <c r="B1" s="91"/>
      <c r="C1" s="91"/>
      <c r="D1" s="91"/>
      <c r="E1" s="91"/>
      <c r="F1" s="91"/>
      <c r="G1" s="91"/>
      <c r="H1" s="92"/>
    </row>
    <row r="2" spans="1:10" ht="34.5" hidden="1" x14ac:dyDescent="0.5">
      <c r="A2" s="685" t="str">
        <f>IF('[4]ตาราง 1 '!C2="","",'[4]ตาราง 1 '!C2)</f>
        <v>เลือกคณะ/หน่วยงาน</v>
      </c>
      <c r="B2" s="686"/>
      <c r="C2" s="686"/>
      <c r="D2" s="686"/>
      <c r="E2" s="686"/>
      <c r="F2" s="686"/>
      <c r="G2" s="686"/>
      <c r="H2" s="687"/>
    </row>
    <row r="3" spans="1:10" x14ac:dyDescent="0.5">
      <c r="A3" s="688" t="s">
        <v>18</v>
      </c>
      <c r="B3" s="688" t="s">
        <v>7</v>
      </c>
      <c r="C3" s="690" t="s">
        <v>118</v>
      </c>
      <c r="D3" s="691"/>
      <c r="E3" s="691"/>
      <c r="F3" s="691"/>
      <c r="G3" s="688" t="s">
        <v>8</v>
      </c>
      <c r="H3" s="688" t="s">
        <v>5</v>
      </c>
      <c r="J3" s="4"/>
    </row>
    <row r="4" spans="1:10" x14ac:dyDescent="0.5">
      <c r="A4" s="689"/>
      <c r="B4" s="689"/>
      <c r="C4" s="93" t="s">
        <v>19</v>
      </c>
      <c r="D4" s="93" t="s">
        <v>20</v>
      </c>
      <c r="E4" s="93" t="s">
        <v>21</v>
      </c>
      <c r="F4" s="94" t="s">
        <v>119</v>
      </c>
      <c r="G4" s="689"/>
      <c r="H4" s="689"/>
    </row>
    <row r="5" spans="1:10" x14ac:dyDescent="0.5">
      <c r="A5" s="95" t="s">
        <v>63</v>
      </c>
      <c r="B5" s="96">
        <f>IF(COUNTBLANK('สรุปตาราง 1'!I6:I10)=5,"",COUNT('สรุปตาราง 1'!I6:I10))</f>
        <v>5</v>
      </c>
      <c r="C5" s="97">
        <f>IF(COUNTBLANK('สรุปตาราง 1'!I7:I8)=2,"",AVERAGE('สรุปตาราง 1'!I7:I8))</f>
        <v>2.6789077212806029</v>
      </c>
      <c r="D5" s="97">
        <f>IF(COUNTBLANK('สรุปตาราง 1'!I9:I10)=2,"",AVERAGE('สรุปตาราง 1'!I9:I10))</f>
        <v>5</v>
      </c>
      <c r="E5" s="97">
        <f>IF(COUNTBLANK('สรุปตาราง 1'!I6)=1,"",AVERAGE('สรุปตาราง 1'!I6))</f>
        <v>3.2207692307692306</v>
      </c>
      <c r="F5" s="98">
        <f>IF(COUNTBLANK('สรุปตาราง 1'!I6:I10)=6,"",AVERAGE('สรุปตาราง 1'!I6:I10))</f>
        <v>3.7157169346660872</v>
      </c>
      <c r="G5" s="49" t="str">
        <f>IF(F5="","",IF(F5&lt;=1.5,"ต้องปรับปรุงเร่งด่วน",IF(F5&lt;=2.5,"ต้องปรับปรุง",IF(F5&lt;=3.5,"พอใช้",IF(F5&lt;=4.5,"ดี",IF(F5&lt;=5,"ดีมาก",""))))))</f>
        <v>ดี</v>
      </c>
      <c r="H5" s="99"/>
      <c r="I5" s="4"/>
      <c r="J5" s="4"/>
    </row>
    <row r="6" spans="1:10" x14ac:dyDescent="0.5">
      <c r="A6" s="100" t="s">
        <v>120</v>
      </c>
      <c r="B6" s="96">
        <f>IF(COUNTBLANK('สรุปตาราง 1'!I13:I15)=5,"",COUNT('สรุปตาราง 1'!I13:I15))</f>
        <v>3</v>
      </c>
      <c r="C6" s="101">
        <f>IF(COUNTBLANK('สรุปตาราง 1'!I14)=1,"",AVERAGE('สรุปตาราง 1'!I14))</f>
        <v>5</v>
      </c>
      <c r="D6" s="101">
        <f>IF(COUNTBLANK('สรุปตาราง 1'!I13)=1,"",AVERAGE('สรุปตาราง 1'!I13))</f>
        <v>5</v>
      </c>
      <c r="E6" s="101">
        <f>IF(COUNTBLANK('สรุปตาราง 1'!I15)=1,"",AVERAGE('สรุปตาราง 1'!I15))</f>
        <v>4.8144444444444439</v>
      </c>
      <c r="F6" s="98">
        <f>IF(COUNTBLANK('สรุปตาราง 1'!I13:I15)=3,"",AVERAGE('สรุปตาราง 1'!I13:I15))</f>
        <v>4.938148148148148</v>
      </c>
      <c r="G6" s="49" t="str">
        <f t="shared" ref="G6:G9" si="0">IF(F6="","",IF(F6&lt;=1.5,"ต้องปรับปรุงเร่งด่วน",IF(F6&lt;=2.5,"ต้องปรับปรุง",IF(F6&lt;=3.5,"พอใช้",IF(F6&lt;=4.5,"ดี",IF(F6&lt;=5,"ดีมาก",""))))))</f>
        <v>ดีมาก</v>
      </c>
      <c r="H6" s="102"/>
    </row>
    <row r="7" spans="1:10" x14ac:dyDescent="0.5">
      <c r="A7" s="100" t="s">
        <v>91</v>
      </c>
      <c r="B7" s="96">
        <f>IF(COUNTBLANK('สรุปตาราง 1'!I18)=1,"",COUNT('สรุปตาราง 1'!I18))</f>
        <v>1</v>
      </c>
      <c r="C7" s="103" t="s">
        <v>26</v>
      </c>
      <c r="D7" s="101">
        <f>IF(COUNTBLANK('สรุปตาราง 1'!I18)=1,"",AVERAGE('สรุปตาราง 1'!I18))</f>
        <v>5</v>
      </c>
      <c r="E7" s="103" t="s">
        <v>26</v>
      </c>
      <c r="F7" s="104">
        <f>IF(COUNTBLANK('สรุปตาราง 1'!I18)=1,"",AVERAGE('สรุปตาราง 1'!I18))</f>
        <v>5</v>
      </c>
      <c r="G7" s="49" t="str">
        <f t="shared" si="0"/>
        <v>ดีมาก</v>
      </c>
      <c r="H7" s="102"/>
    </row>
    <row r="8" spans="1:10" x14ac:dyDescent="0.5">
      <c r="A8" s="100" t="s">
        <v>121</v>
      </c>
      <c r="B8" s="96">
        <f>IF(COUNTBLANK('สรุปตาราง 1'!I21)=1,"",COUNT('สรุปตาราง 1'!I21))</f>
        <v>1</v>
      </c>
      <c r="C8" s="103" t="s">
        <v>26</v>
      </c>
      <c r="D8" s="101">
        <f>IF(COUNTBLANK('สรุปตาราง 1'!I21)=1,"",AVERAGE('สรุปตาราง 1'!I21))</f>
        <v>5</v>
      </c>
      <c r="E8" s="103" t="s">
        <v>26</v>
      </c>
      <c r="F8" s="104">
        <f>IF(COUNTBLANK('สรุปตาราง 1'!I21)=1,"",AVERAGE('สรุปตาราง 1'!I21))</f>
        <v>5</v>
      </c>
      <c r="G8" s="49" t="str">
        <f t="shared" si="0"/>
        <v>ดีมาก</v>
      </c>
      <c r="H8" s="102"/>
    </row>
    <row r="9" spans="1:10" x14ac:dyDescent="0.5">
      <c r="A9" s="100" t="s">
        <v>94</v>
      </c>
      <c r="B9" s="96">
        <f>IF(COUNTBLANK('สรุปตาราง 1'!I24:I26)=3,"",COUNT('สรุปตาราง 1'!I24:I26))</f>
        <v>3</v>
      </c>
      <c r="C9" s="103" t="s">
        <v>26</v>
      </c>
      <c r="D9" s="101">
        <f>IF(COUNTBLANK(คะแนน!B12:B13)=2,"",AVERAGE(คะแนน!B12:B13))</f>
        <v>5</v>
      </c>
      <c r="E9" s="101">
        <f>IF(COUNTBLANK(คะแนน!B14)=1,"",AVERAGE(คะแนน!B14))</f>
        <v>4.3337500000000002</v>
      </c>
      <c r="F9" s="98">
        <f>IF(COUNTBLANK('สรุปตาราง 1'!I24:I26)=3,"",AVERAGE('สรุปตาราง 1'!I24:I26))</f>
        <v>4.777916666666667</v>
      </c>
      <c r="G9" s="49" t="str">
        <f t="shared" si="0"/>
        <v>ดีมาก</v>
      </c>
      <c r="H9" s="102"/>
    </row>
    <row r="10" spans="1:10" ht="23.45" hidden="1" customHeight="1" x14ac:dyDescent="0.5">
      <c r="A10" s="105" t="s">
        <v>24</v>
      </c>
      <c r="B10" s="106">
        <f>IF(COUNTBLANK(B5:B9)=5,"",SUM(B5:B9))</f>
        <v>13</v>
      </c>
      <c r="C10" s="107">
        <f>IF(COUNTBLANK(C5:C6)=2,"",COUNT('[4]ตาราง 1 '!K7:K9,'[4]ตาราง 1 '!K56))</f>
        <v>0</v>
      </c>
      <c r="D10" s="107">
        <f>IF(COUNTBLANK(D5:D9)=5,"",COUNT('[4]ตาราง 1 '!K50:K51,'[4]ตาราง 1 '!K55,'[4]ตาราง 1 '!K85,'[4]ตาราง 1 '!K89,'[4]ตาราง 1 '!K93,'[4]ตาราง 1 '!K94))</f>
        <v>0</v>
      </c>
      <c r="E10" s="107">
        <f>IF(COUNTBLANK(E5:E6)=2,"",COUNT('[4]ตาราง 1 '!K6,'[4]ตาราง 1 '!K69))</f>
        <v>0</v>
      </c>
      <c r="F10" s="108" t="s">
        <v>26</v>
      </c>
      <c r="G10" s="119"/>
      <c r="H10" s="109"/>
    </row>
    <row r="11" spans="1:10" ht="23.45" customHeight="1" x14ac:dyDescent="0.5">
      <c r="A11" s="110" t="s">
        <v>22</v>
      </c>
      <c r="B11" s="111">
        <f>SUM(B5:B9)</f>
        <v>13</v>
      </c>
      <c r="C11" s="112">
        <f>IF(COUNTBLANK(C5:C6)=2,"",AVERAGE('สรุปตาราง 1'!I7:I8,'สรุปตาราง 1'!I14))</f>
        <v>3.4526051475204018</v>
      </c>
      <c r="D11" s="113">
        <f>IF(COUNTBLANK(D5:D9)=5,"",AVERAGE('สรุปตาราง 1'!I9:I10,'สรุปตาราง 1'!I13,'สรุปตาราง 1'!I18,'สรุปตาราง 1'!I21,'สรุปตาราง 1'!I24,'สรุปตาราง 1'!I26))</f>
        <v>5</v>
      </c>
      <c r="E11" s="114">
        <f>IF(COUNTBLANK(E5:E9)=5,"",AVERAGE('สรุปตาราง 1'!I6,'สรุปตาราง 1'!I15,'สรุปตาราง 1'!I25))</f>
        <v>4.1229878917378917</v>
      </c>
      <c r="F11" s="115">
        <f>IF(COUNTBLANK(F5:F9)=5,"",AVERAGE('สรุปตาราง 1'!I6:I10,'สรุปตาราง 1'!I13:I15,'สรุปตาราง 1'!I18,'สรุปตาราง 1'!I21,'สรุปตาราง 1'!I24:I26))</f>
        <v>4.4405214705980676</v>
      </c>
      <c r="G11" s="120" t="str">
        <f>IF(F11="","",IF(F11&lt;=1.5,"ต้องปรับปรุงเร่งด่วน",IF(F11&lt;=2.5,"ต้องปรับปรุง",IF(F11&lt;=3.5,"พอใช้",IF(F11&lt;=4.5,"ดี",IF(F11&lt;=5,"ดีมาก",""))))))</f>
        <v>ดี</v>
      </c>
      <c r="H11" s="116"/>
    </row>
    <row r="12" spans="1:10" x14ac:dyDescent="0.5">
      <c r="A12" s="681" t="s">
        <v>8</v>
      </c>
      <c r="B12" s="682"/>
      <c r="C12" s="117" t="str">
        <f>IF(C11&lt;=1.5,"ต้องปรับปรุงเร่งด่วน",IF(C11&lt;=2.5,"ต้องปรับปรุง",IF(C11&lt;=3.5,"พอใช้",IF(C11&lt;=4.5,"ดี",IF(C11&lt;=5,"ดีมาก","")))))</f>
        <v>พอใช้</v>
      </c>
      <c r="D12" s="117" t="str">
        <f>IF(D11&lt;=1.5,"ต้องปรับปรุงเร่งด่วน",IF(D11&lt;=2.5,"ต้องปรับปรุง",IF(D11&lt;=3.5,"พอใช้",IF(D11&lt;=4.5,"ดี",IF(D11&lt;=5,"ดีมาก","")))))</f>
        <v>ดีมาก</v>
      </c>
      <c r="E12" s="117" t="str">
        <f>IF(E11&lt;=1.5,"ต้องปรับปรุงเร่งด่วน",IF(E11&lt;=2.5,"ต้องปรับปรุง",IF(E11&lt;=3.5,"พอใช้",IF(E11&lt;=4.5,"ดี",IF(E11&lt;=5,"ดีมาก","")))))</f>
        <v>ดี</v>
      </c>
      <c r="F12" s="118"/>
      <c r="G12" s="683"/>
      <c r="H12" s="683"/>
    </row>
    <row r="14" spans="1:10" x14ac:dyDescent="0.5">
      <c r="A14" s="684"/>
      <c r="B14" s="684"/>
      <c r="C14" s="684"/>
      <c r="D14" s="684"/>
      <c r="E14" s="684"/>
      <c r="F14" s="684"/>
      <c r="G14" s="684"/>
      <c r="H14" s="684"/>
    </row>
  </sheetData>
  <sheetProtection algorithmName="SHA-512" hashValue="N/7cntiuWZ3DXYkbKdP2CWk7pTQVTpli65dIr12dLtFJzkZKbvbfh2wRQVuKYwFI8/XN8YmtT/icoBuqHUhOiA==" saltValue="Lyv+3xPpAply4rSSfp4sPg==" spinCount="100000" sheet="1" objects="1" scenarios="1" selectLockedCells="1"/>
  <mergeCells count="9">
    <mergeCell ref="A12:B12"/>
    <mergeCell ref="G12:H12"/>
    <mergeCell ref="A14:H14"/>
    <mergeCell ref="A2:H2"/>
    <mergeCell ref="A3:A4"/>
    <mergeCell ref="B3:B4"/>
    <mergeCell ref="C3:F3"/>
    <mergeCell ref="G3:G4"/>
    <mergeCell ref="H3:H4"/>
  </mergeCells>
  <conditionalFormatting sqref="A2:H2">
    <cfRule type="notContainsBlanks" dxfId="0" priority="1">
      <formula>LEN(TRIM(A2))&gt;0</formula>
    </cfRule>
  </conditionalFormatting>
  <printOptions horizontalCentered="1"/>
  <pageMargins left="0.25" right="0.25" top="0.75" bottom="0.6" header="0.3" footer="0.3"/>
  <pageSetup paperSize="9" orientation="landscape" r:id="rId1"/>
  <headerFooter>
    <oddFooter>&amp;LCalculator Ver.1.1s Update (22-05-2012)&amp;Rหน้าที่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B4" workbookViewId="0">
      <selection activeCell="H5" sqref="H5:K10"/>
    </sheetView>
  </sheetViews>
  <sheetFormatPr defaultColWidth="9.08984375" defaultRowHeight="24.75" x14ac:dyDescent="0.6"/>
  <cols>
    <col min="1" max="1" width="9.08984375" style="129"/>
    <col min="2" max="2" width="3.90625" style="129" customWidth="1"/>
    <col min="3" max="3" width="26.6328125" style="129" customWidth="1"/>
    <col min="4" max="4" width="6.90625" style="129" customWidth="1"/>
    <col min="5" max="5" width="7.7265625" style="129" customWidth="1"/>
    <col min="6" max="6" width="8.1796875" style="129" customWidth="1"/>
    <col min="7" max="7" width="12.08984375" style="129" customWidth="1"/>
    <col min="8" max="8" width="16.1796875" style="279" bestFit="1" customWidth="1"/>
    <col min="9" max="9" width="9.7265625" style="279" bestFit="1" customWidth="1"/>
    <col min="10" max="10" width="10.26953125" style="279" bestFit="1" customWidth="1"/>
    <col min="11" max="11" width="10" style="279" bestFit="1" customWidth="1"/>
    <col min="12" max="16384" width="9.08984375" style="129"/>
  </cols>
  <sheetData>
    <row r="1" spans="1:11" ht="25.5" thickBot="1" x14ac:dyDescent="0.65">
      <c r="B1" s="280" t="s">
        <v>804</v>
      </c>
    </row>
    <row r="2" spans="1:11" ht="37.5" x14ac:dyDescent="0.6">
      <c r="A2" s="695" t="s">
        <v>125</v>
      </c>
      <c r="B2" s="697" t="s">
        <v>125</v>
      </c>
      <c r="C2" s="699" t="s">
        <v>126</v>
      </c>
      <c r="D2" s="521" t="s">
        <v>127</v>
      </c>
      <c r="E2" s="521"/>
      <c r="F2" s="521"/>
      <c r="G2" s="260" t="s">
        <v>128</v>
      </c>
    </row>
    <row r="3" spans="1:11" ht="38.25" thickBot="1" x14ac:dyDescent="0.65">
      <c r="A3" s="696"/>
      <c r="B3" s="698"/>
      <c r="C3" s="699"/>
      <c r="D3" s="384" t="s">
        <v>129</v>
      </c>
      <c r="E3" s="384" t="s">
        <v>130</v>
      </c>
      <c r="F3" s="260" t="s">
        <v>131</v>
      </c>
      <c r="G3" s="261" t="s">
        <v>132</v>
      </c>
    </row>
    <row r="4" spans="1:11" x14ac:dyDescent="0.6">
      <c r="A4" s="692">
        <v>1</v>
      </c>
      <c r="B4" s="277">
        <v>1</v>
      </c>
      <c r="C4" s="262" t="s">
        <v>133</v>
      </c>
      <c r="D4" s="263">
        <v>1070000</v>
      </c>
      <c r="E4" s="263">
        <v>3918600</v>
      </c>
      <c r="F4" s="264">
        <f t="shared" ref="F4:F14" si="0">SUM(D4:E4)</f>
        <v>4988600</v>
      </c>
      <c r="G4" s="265">
        <v>86</v>
      </c>
    </row>
    <row r="5" spans="1:11" x14ac:dyDescent="0.2">
      <c r="A5" s="693"/>
      <c r="B5" s="277"/>
      <c r="C5" s="266" t="s">
        <v>134</v>
      </c>
      <c r="D5" s="267">
        <v>750000</v>
      </c>
      <c r="E5" s="267">
        <v>3468600</v>
      </c>
      <c r="F5" s="268">
        <f t="shared" si="0"/>
        <v>4218600</v>
      </c>
      <c r="G5" s="269">
        <v>70.5</v>
      </c>
      <c r="H5" s="386"/>
      <c r="I5" s="386" t="s">
        <v>828</v>
      </c>
      <c r="J5" s="386" t="s">
        <v>789</v>
      </c>
      <c r="K5" s="387" t="s">
        <v>834</v>
      </c>
    </row>
    <row r="6" spans="1:11" ht="25.5" thickBot="1" x14ac:dyDescent="0.65">
      <c r="A6" s="694"/>
      <c r="B6" s="277"/>
      <c r="C6" s="266" t="s">
        <v>135</v>
      </c>
      <c r="D6" s="267">
        <v>320000</v>
      </c>
      <c r="E6" s="267">
        <v>450000</v>
      </c>
      <c r="F6" s="268">
        <f t="shared" si="0"/>
        <v>770000</v>
      </c>
      <c r="G6" s="269">
        <v>15.5</v>
      </c>
      <c r="H6" s="386" t="s">
        <v>829</v>
      </c>
      <c r="I6" s="386">
        <f>SUM(G9,G10,G11,G14,G15)</f>
        <v>216</v>
      </c>
      <c r="J6" s="386">
        <f>SUM(G4,G7,G8,G13)</f>
        <v>146.5</v>
      </c>
      <c r="K6" s="388">
        <f>SUM(I6:J6)</f>
        <v>362.5</v>
      </c>
    </row>
    <row r="7" spans="1:11" ht="25.5" thickBot="1" x14ac:dyDescent="0.65">
      <c r="A7" s="259">
        <v>2</v>
      </c>
      <c r="B7" s="277">
        <v>2</v>
      </c>
      <c r="C7" s="262" t="s">
        <v>136</v>
      </c>
      <c r="D7" s="270">
        <v>0</v>
      </c>
      <c r="E7" s="263">
        <v>4247000</v>
      </c>
      <c r="F7" s="265">
        <f t="shared" si="0"/>
        <v>4247000</v>
      </c>
      <c r="G7" s="265">
        <v>34</v>
      </c>
      <c r="H7" s="386" t="s">
        <v>830</v>
      </c>
      <c r="I7" s="389">
        <f>SUM(E9,E10,E11,E14)</f>
        <v>9624000</v>
      </c>
      <c r="J7" s="389">
        <f>SUM(E4,E7,E8,E13)</f>
        <v>11627600</v>
      </c>
      <c r="K7" s="390">
        <f>SUM(I7:J7)</f>
        <v>21251600</v>
      </c>
    </row>
    <row r="8" spans="1:11" ht="25.5" thickBot="1" x14ac:dyDescent="0.65">
      <c r="A8" s="259">
        <v>3</v>
      </c>
      <c r="B8" s="277">
        <v>3</v>
      </c>
      <c r="C8" s="262" t="s">
        <v>137</v>
      </c>
      <c r="D8" s="263">
        <v>50490</v>
      </c>
      <c r="E8" s="263">
        <v>3022000</v>
      </c>
      <c r="F8" s="264">
        <f t="shared" si="0"/>
        <v>3072490</v>
      </c>
      <c r="G8" s="265">
        <v>22.5</v>
      </c>
      <c r="H8" s="386" t="s">
        <v>831</v>
      </c>
      <c r="I8" s="389">
        <f>SUM(D9,D10,D11,D14)</f>
        <v>88235.28</v>
      </c>
      <c r="J8" s="389">
        <f>SUM(D4,D7,D8,D13)</f>
        <v>1295490</v>
      </c>
      <c r="K8" s="390">
        <f>SUM(I8:J8)</f>
        <v>1383725.28</v>
      </c>
    </row>
    <row r="9" spans="1:11" ht="25.5" thickBot="1" x14ac:dyDescent="0.65">
      <c r="A9" s="259">
        <v>4</v>
      </c>
      <c r="B9" s="277">
        <v>4</v>
      </c>
      <c r="C9" s="262" t="s">
        <v>138</v>
      </c>
      <c r="D9" s="271">
        <v>88235.28</v>
      </c>
      <c r="E9" s="263">
        <v>3425500</v>
      </c>
      <c r="F9" s="272">
        <f t="shared" si="0"/>
        <v>3513735.28</v>
      </c>
      <c r="G9" s="265">
        <v>75</v>
      </c>
      <c r="H9" s="391" t="s">
        <v>832</v>
      </c>
      <c r="I9" s="392">
        <f>SUM(I7:I8)</f>
        <v>9712235.2799999993</v>
      </c>
      <c r="J9" s="392">
        <f>SUM(J7:J8)</f>
        <v>12923090</v>
      </c>
      <c r="K9" s="390">
        <f>SUM(I9:J9)</f>
        <v>22635325.280000001</v>
      </c>
    </row>
    <row r="10" spans="1:11" ht="25.5" thickBot="1" x14ac:dyDescent="0.65">
      <c r="A10" s="259">
        <v>5</v>
      </c>
      <c r="B10" s="277">
        <v>5</v>
      </c>
      <c r="C10" s="262" t="s">
        <v>139</v>
      </c>
      <c r="D10" s="270">
        <v>0</v>
      </c>
      <c r="E10" s="263">
        <v>535500</v>
      </c>
      <c r="F10" s="273">
        <f t="shared" si="0"/>
        <v>535500</v>
      </c>
      <c r="G10" s="265">
        <v>61.5</v>
      </c>
      <c r="H10" s="391" t="s">
        <v>833</v>
      </c>
      <c r="I10" s="393">
        <f>SUM(I9/I6)</f>
        <v>44964.052222222221</v>
      </c>
      <c r="J10" s="393">
        <f>SUM(J9/J6)</f>
        <v>88212.218430034132</v>
      </c>
      <c r="K10" s="388"/>
    </row>
    <row r="11" spans="1:11" ht="25.5" thickBot="1" x14ac:dyDescent="0.65">
      <c r="A11" s="385">
        <v>6</v>
      </c>
      <c r="B11" s="277">
        <v>6</v>
      </c>
      <c r="C11" s="262" t="s">
        <v>140</v>
      </c>
      <c r="D11" s="270">
        <v>0</v>
      </c>
      <c r="E11" s="263">
        <v>5043000</v>
      </c>
      <c r="F11" s="273">
        <f t="shared" si="0"/>
        <v>5043000</v>
      </c>
      <c r="G11" s="265">
        <v>56.5</v>
      </c>
    </row>
    <row r="12" spans="1:11" x14ac:dyDescent="0.6">
      <c r="A12" s="692">
        <v>7</v>
      </c>
      <c r="B12" s="277">
        <v>7</v>
      </c>
      <c r="C12" s="262" t="s">
        <v>141</v>
      </c>
      <c r="D12" s="263">
        <v>175000</v>
      </c>
      <c r="E12" s="263">
        <v>1060000</v>
      </c>
      <c r="F12" s="264">
        <f t="shared" si="0"/>
        <v>1235000</v>
      </c>
      <c r="G12" s="265">
        <v>26</v>
      </c>
    </row>
    <row r="13" spans="1:11" x14ac:dyDescent="0.6">
      <c r="A13" s="693"/>
      <c r="B13" s="277"/>
      <c r="C13" s="266" t="s">
        <v>142</v>
      </c>
      <c r="D13" s="267">
        <v>175000</v>
      </c>
      <c r="E13" s="267">
        <v>440000</v>
      </c>
      <c r="F13" s="268">
        <f t="shared" si="0"/>
        <v>615000</v>
      </c>
      <c r="G13" s="269">
        <v>4</v>
      </c>
    </row>
    <row r="14" spans="1:11" ht="25.5" thickBot="1" x14ac:dyDescent="0.65">
      <c r="A14" s="694"/>
      <c r="B14" s="277"/>
      <c r="C14" s="266" t="s">
        <v>143</v>
      </c>
      <c r="D14" s="274">
        <v>0</v>
      </c>
      <c r="E14" s="267">
        <v>620000</v>
      </c>
      <c r="F14" s="269">
        <f t="shared" si="0"/>
        <v>620000</v>
      </c>
      <c r="G14" s="269">
        <v>22</v>
      </c>
    </row>
    <row r="15" spans="1:11" x14ac:dyDescent="0.6">
      <c r="A15" s="385">
        <v>6</v>
      </c>
      <c r="B15" s="277">
        <v>8</v>
      </c>
      <c r="C15" s="262" t="s">
        <v>379</v>
      </c>
      <c r="D15" s="270">
        <v>0</v>
      </c>
      <c r="E15" s="263">
        <v>0</v>
      </c>
      <c r="F15" s="273">
        <f t="shared" ref="F15" si="1">SUM(D15:E15)</f>
        <v>0</v>
      </c>
      <c r="G15" s="265">
        <v>1</v>
      </c>
    </row>
    <row r="16" spans="1:11" x14ac:dyDescent="0.6">
      <c r="B16" s="278"/>
      <c r="C16" s="275" t="s">
        <v>680</v>
      </c>
      <c r="D16" s="276">
        <f t="shared" ref="D16" si="2">SUM(D4,D7,D8,D9,D10,D11,D12)</f>
        <v>1383725.28</v>
      </c>
      <c r="E16" s="276">
        <f>SUM(E4,E7,E8,E9,E10,E11,E12)</f>
        <v>21251600</v>
      </c>
      <c r="F16" s="276">
        <f>SUM(F4,F7,F8,F9,F10,F11,F12)</f>
        <v>22635325.280000001</v>
      </c>
      <c r="G16" s="275">
        <f>SUM(G4,G7,G8,G9,G10,G11,G12,G15)</f>
        <v>362.5</v>
      </c>
    </row>
    <row r="17" spans="3:7" x14ac:dyDescent="0.6">
      <c r="C17" s="132"/>
      <c r="D17" s="132"/>
      <c r="E17" s="132"/>
      <c r="F17" s="132"/>
      <c r="G17" s="132"/>
    </row>
    <row r="19" spans="3:7" ht="20.45" customHeight="1" x14ac:dyDescent="0.6"/>
    <row r="32" spans="3:7" ht="20.45" customHeight="1" x14ac:dyDescent="0.6"/>
  </sheetData>
  <mergeCells count="6">
    <mergeCell ref="A12:A14"/>
    <mergeCell ref="A2:A3"/>
    <mergeCell ref="B2:B3"/>
    <mergeCell ref="C2:C3"/>
    <mergeCell ref="D2:F2"/>
    <mergeCell ref="A4:A6"/>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H10" sqref="H10"/>
    </sheetView>
  </sheetViews>
  <sheetFormatPr defaultColWidth="9.08984375" defaultRowHeight="23.25" x14ac:dyDescent="0.5"/>
  <cols>
    <col min="1" max="1" width="2.36328125" style="249" bestFit="1" customWidth="1"/>
    <col min="2" max="2" width="3.90625" style="249" customWidth="1"/>
    <col min="3" max="3" width="4.453125" style="249" customWidth="1"/>
    <col min="4" max="4" width="3.90625" style="249" customWidth="1"/>
    <col min="5" max="5" width="4.453125" style="249" customWidth="1"/>
    <col min="6" max="6" width="3.90625" style="249" customWidth="1"/>
    <col min="7" max="7" width="4.453125" style="249" customWidth="1"/>
    <col min="8" max="8" width="3.90625" style="249" customWidth="1"/>
    <col min="9" max="9" width="4.453125" style="249" customWidth="1"/>
    <col min="10" max="10" width="3.90625" style="249" customWidth="1"/>
    <col min="11" max="11" width="4.453125" style="249" customWidth="1"/>
    <col min="12" max="12" width="3.90625" style="249" customWidth="1"/>
    <col min="13" max="13" width="4.453125" style="249" customWidth="1"/>
    <col min="14" max="14" width="3.90625" style="249" customWidth="1"/>
    <col min="15" max="15" width="4.453125" style="249" customWidth="1"/>
    <col min="16" max="16" width="3.90625" style="249" customWidth="1"/>
    <col min="17" max="17" width="4.453125" style="249" customWidth="1"/>
    <col min="18" max="16384" width="9.08984375" style="249"/>
  </cols>
  <sheetData>
    <row r="1" spans="1:18" x14ac:dyDescent="0.5">
      <c r="A1" s="703" t="s">
        <v>790</v>
      </c>
      <c r="B1" s="700" t="s">
        <v>789</v>
      </c>
      <c r="C1" s="700"/>
      <c r="D1" s="700" t="s">
        <v>792</v>
      </c>
      <c r="E1" s="700"/>
      <c r="F1" s="700" t="s">
        <v>793</v>
      </c>
      <c r="G1" s="700"/>
      <c r="H1" s="700" t="s">
        <v>794</v>
      </c>
      <c r="I1" s="700"/>
      <c r="J1" s="700" t="s">
        <v>795</v>
      </c>
      <c r="K1" s="700"/>
      <c r="L1" s="700" t="s">
        <v>796</v>
      </c>
      <c r="M1" s="700"/>
      <c r="N1" s="701" t="s">
        <v>800</v>
      </c>
      <c r="O1" s="702"/>
      <c r="P1" s="700" t="s">
        <v>797</v>
      </c>
      <c r="Q1" s="700"/>
    </row>
    <row r="2" spans="1:18" x14ac:dyDescent="0.5">
      <c r="A2" s="703"/>
      <c r="B2" s="250" t="s">
        <v>791</v>
      </c>
      <c r="C2" s="250" t="s">
        <v>131</v>
      </c>
      <c r="D2" s="250" t="s">
        <v>791</v>
      </c>
      <c r="E2" s="250" t="s">
        <v>131</v>
      </c>
      <c r="F2" s="250" t="s">
        <v>791</v>
      </c>
      <c r="G2" s="250" t="s">
        <v>131</v>
      </c>
      <c r="H2" s="250" t="s">
        <v>791</v>
      </c>
      <c r="I2" s="250" t="s">
        <v>131</v>
      </c>
      <c r="J2" s="250" t="s">
        <v>791</v>
      </c>
      <c r="K2" s="250" t="s">
        <v>131</v>
      </c>
      <c r="L2" s="250" t="s">
        <v>791</v>
      </c>
      <c r="M2" s="250" t="s">
        <v>131</v>
      </c>
      <c r="N2" s="250" t="s">
        <v>791</v>
      </c>
      <c r="O2" s="250" t="s">
        <v>131</v>
      </c>
      <c r="P2" s="250" t="s">
        <v>791</v>
      </c>
      <c r="Q2" s="250" t="s">
        <v>131</v>
      </c>
    </row>
    <row r="3" spans="1:18" x14ac:dyDescent="0.5">
      <c r="A3" s="251">
        <v>0.2</v>
      </c>
      <c r="B3" s="252">
        <v>27</v>
      </c>
      <c r="C3" s="252">
        <f>SUM(A3)*B3</f>
        <v>5.4</v>
      </c>
      <c r="D3" s="252">
        <v>1</v>
      </c>
      <c r="E3" s="252">
        <f>D3*A3</f>
        <v>0.2</v>
      </c>
      <c r="F3" s="252">
        <v>5</v>
      </c>
      <c r="G3" s="252">
        <f>A3*F3</f>
        <v>1</v>
      </c>
      <c r="H3" s="252">
        <v>0</v>
      </c>
      <c r="I3" s="252">
        <f>H3*A3</f>
        <v>0</v>
      </c>
      <c r="J3" s="252">
        <v>51</v>
      </c>
      <c r="K3" s="252">
        <f>J3*A3</f>
        <v>10.200000000000001</v>
      </c>
      <c r="L3" s="252">
        <v>4</v>
      </c>
      <c r="M3" s="252">
        <f>L3*A3</f>
        <v>0.8</v>
      </c>
      <c r="N3" s="252">
        <v>18</v>
      </c>
      <c r="O3" s="252">
        <f>N3*A3</f>
        <v>3.6</v>
      </c>
      <c r="P3" s="252">
        <v>0</v>
      </c>
      <c r="Q3" s="252">
        <f>P3*A3</f>
        <v>0</v>
      </c>
      <c r="R3" s="249">
        <f>SUM(B3,D3,F3,H3,J3,L3,N3,P3)</f>
        <v>106</v>
      </c>
    </row>
    <row r="4" spans="1:18" x14ac:dyDescent="0.5">
      <c r="A4" s="251">
        <v>0.4</v>
      </c>
      <c r="B4" s="252">
        <v>23</v>
      </c>
      <c r="C4" s="252">
        <f t="shared" ref="C4:C7" si="0">SUM(A4)*B4</f>
        <v>9.2000000000000011</v>
      </c>
      <c r="D4" s="252">
        <v>1</v>
      </c>
      <c r="E4" s="252">
        <f t="shared" ref="E4:E7" si="1">D4*A4</f>
        <v>0.4</v>
      </c>
      <c r="F4" s="252">
        <v>9</v>
      </c>
      <c r="G4" s="252">
        <f t="shared" ref="G4:G7" si="2">A4*F4</f>
        <v>3.6</v>
      </c>
      <c r="H4" s="252">
        <v>1</v>
      </c>
      <c r="I4" s="252">
        <f t="shared" ref="I4:I7" si="3">H4*A4</f>
        <v>0.4</v>
      </c>
      <c r="J4" s="252">
        <v>0</v>
      </c>
      <c r="K4" s="252">
        <f t="shared" ref="K4:K7" si="4">J4*A4</f>
        <v>0</v>
      </c>
      <c r="L4" s="252">
        <v>1</v>
      </c>
      <c r="M4" s="252">
        <f t="shared" ref="M4:M7" si="5">L4*A4</f>
        <v>0.4</v>
      </c>
      <c r="N4" s="252">
        <v>1</v>
      </c>
      <c r="O4" s="252">
        <f t="shared" ref="O4:O7" si="6">N4*A4</f>
        <v>0.4</v>
      </c>
      <c r="P4" s="252">
        <v>0</v>
      </c>
      <c r="Q4" s="252">
        <f>P4*A4</f>
        <v>0</v>
      </c>
      <c r="R4" s="249">
        <f t="shared" ref="R4:R8" si="7">SUM(B4,D4,F4,H4,J4,L4,N4,P4)</f>
        <v>36</v>
      </c>
    </row>
    <row r="5" spans="1:18" x14ac:dyDescent="0.5">
      <c r="A5" s="251">
        <v>0.6</v>
      </c>
      <c r="B5" s="252">
        <v>20</v>
      </c>
      <c r="C5" s="252">
        <f t="shared" si="0"/>
        <v>12</v>
      </c>
      <c r="D5" s="252">
        <v>3</v>
      </c>
      <c r="E5" s="252">
        <f t="shared" si="1"/>
        <v>1.7999999999999998</v>
      </c>
      <c r="F5" s="252">
        <v>5</v>
      </c>
      <c r="G5" s="252">
        <f t="shared" si="2"/>
        <v>3</v>
      </c>
      <c r="H5" s="252">
        <v>7</v>
      </c>
      <c r="I5" s="252">
        <f t="shared" si="3"/>
        <v>4.2</v>
      </c>
      <c r="J5" s="252">
        <v>1</v>
      </c>
      <c r="K5" s="252">
        <f t="shared" si="4"/>
        <v>0.6</v>
      </c>
      <c r="L5" s="252">
        <v>17</v>
      </c>
      <c r="M5" s="252">
        <f t="shared" si="5"/>
        <v>10.199999999999999</v>
      </c>
      <c r="N5" s="252">
        <v>20</v>
      </c>
      <c r="O5" s="252">
        <f t="shared" si="6"/>
        <v>12</v>
      </c>
      <c r="P5" s="252">
        <v>1</v>
      </c>
      <c r="Q5" s="252">
        <f>P5*A5</f>
        <v>0.6</v>
      </c>
      <c r="R5" s="249">
        <f t="shared" si="7"/>
        <v>74</v>
      </c>
    </row>
    <row r="6" spans="1:18" x14ac:dyDescent="0.5">
      <c r="A6" s="251">
        <v>0.8</v>
      </c>
      <c r="B6" s="252">
        <v>7</v>
      </c>
      <c r="C6" s="252">
        <f t="shared" si="0"/>
        <v>5.6000000000000005</v>
      </c>
      <c r="D6" s="252">
        <v>0</v>
      </c>
      <c r="E6" s="252">
        <f t="shared" si="1"/>
        <v>0</v>
      </c>
      <c r="F6" s="252">
        <v>0</v>
      </c>
      <c r="G6" s="252">
        <f t="shared" si="2"/>
        <v>0</v>
      </c>
      <c r="H6" s="252">
        <v>1</v>
      </c>
      <c r="I6" s="252">
        <f t="shared" si="3"/>
        <v>0.8</v>
      </c>
      <c r="J6" s="252">
        <v>3</v>
      </c>
      <c r="K6" s="252">
        <f t="shared" si="4"/>
        <v>2.4000000000000004</v>
      </c>
      <c r="L6" s="252">
        <v>11</v>
      </c>
      <c r="M6" s="252">
        <f t="shared" si="5"/>
        <v>8.8000000000000007</v>
      </c>
      <c r="N6" s="252">
        <v>7</v>
      </c>
      <c r="O6" s="252">
        <f t="shared" si="6"/>
        <v>5.6000000000000005</v>
      </c>
      <c r="P6" s="252">
        <v>0</v>
      </c>
      <c r="Q6" s="252">
        <f>P6*A6</f>
        <v>0</v>
      </c>
      <c r="R6" s="249">
        <f t="shared" si="7"/>
        <v>29</v>
      </c>
    </row>
    <row r="7" spans="1:18" x14ac:dyDescent="0.5">
      <c r="A7" s="251">
        <v>1</v>
      </c>
      <c r="B7" s="252">
        <v>5</v>
      </c>
      <c r="C7" s="252">
        <f t="shared" si="0"/>
        <v>5</v>
      </c>
      <c r="D7" s="252">
        <v>0</v>
      </c>
      <c r="E7" s="252">
        <f t="shared" si="1"/>
        <v>0</v>
      </c>
      <c r="F7" s="252">
        <v>7</v>
      </c>
      <c r="G7" s="252">
        <f t="shared" si="2"/>
        <v>7</v>
      </c>
      <c r="H7" s="252">
        <v>10</v>
      </c>
      <c r="I7" s="252">
        <f t="shared" si="3"/>
        <v>10</v>
      </c>
      <c r="J7" s="252">
        <v>2</v>
      </c>
      <c r="K7" s="252">
        <f t="shared" si="4"/>
        <v>2</v>
      </c>
      <c r="L7" s="252">
        <v>0</v>
      </c>
      <c r="M7" s="252">
        <f t="shared" si="5"/>
        <v>0</v>
      </c>
      <c r="N7" s="252">
        <v>4</v>
      </c>
      <c r="O7" s="252">
        <f t="shared" si="6"/>
        <v>4</v>
      </c>
      <c r="P7" s="252">
        <v>0</v>
      </c>
      <c r="Q7" s="252">
        <f>P7*A7</f>
        <v>0</v>
      </c>
      <c r="R7" s="249">
        <f t="shared" si="7"/>
        <v>28</v>
      </c>
    </row>
    <row r="8" spans="1:18" x14ac:dyDescent="0.5">
      <c r="A8" s="253" t="s">
        <v>131</v>
      </c>
      <c r="B8" s="253">
        <f>SUM(B3:B7)</f>
        <v>82</v>
      </c>
      <c r="C8" s="253">
        <f>SUM(C3:C7)</f>
        <v>37.200000000000003</v>
      </c>
      <c r="D8" s="253">
        <f t="shared" ref="D8:Q8" si="8">SUM(D3:D7)</f>
        <v>5</v>
      </c>
      <c r="E8" s="253">
        <f t="shared" si="8"/>
        <v>2.4</v>
      </c>
      <c r="F8" s="253">
        <f t="shared" si="8"/>
        <v>26</v>
      </c>
      <c r="G8" s="253">
        <f t="shared" si="8"/>
        <v>14.6</v>
      </c>
      <c r="H8" s="253">
        <f t="shared" si="8"/>
        <v>19</v>
      </c>
      <c r="I8" s="253">
        <f t="shared" si="8"/>
        <v>15.4</v>
      </c>
      <c r="J8" s="253">
        <f t="shared" si="8"/>
        <v>57</v>
      </c>
      <c r="K8" s="253">
        <f t="shared" si="8"/>
        <v>15.200000000000001</v>
      </c>
      <c r="L8" s="253">
        <f t="shared" si="8"/>
        <v>33</v>
      </c>
      <c r="M8" s="253">
        <f t="shared" si="8"/>
        <v>20.2</v>
      </c>
      <c r="N8" s="253">
        <f t="shared" ref="N8" si="9">SUM(N3:N7)</f>
        <v>50</v>
      </c>
      <c r="O8" s="253">
        <f t="shared" ref="O8" si="10">SUM(O3:O7)</f>
        <v>25.6</v>
      </c>
      <c r="P8" s="253">
        <f t="shared" si="8"/>
        <v>1</v>
      </c>
      <c r="Q8" s="253">
        <f t="shared" si="8"/>
        <v>0.6</v>
      </c>
      <c r="R8" s="249">
        <f t="shared" si="7"/>
        <v>273</v>
      </c>
    </row>
    <row r="10" spans="1:18" x14ac:dyDescent="0.5">
      <c r="B10" s="249" t="s">
        <v>798</v>
      </c>
      <c r="F10" s="249">
        <f>SUM(B8,D8,F8,H8,J8,L8,N8,P8)</f>
        <v>273</v>
      </c>
    </row>
    <row r="11" spans="1:18" x14ac:dyDescent="0.5">
      <c r="B11" s="249" t="s">
        <v>799</v>
      </c>
      <c r="F11" s="249">
        <f>SUM(C8,E8,G8,I8,K8,M8,O8,Q8)</f>
        <v>131.20000000000002</v>
      </c>
    </row>
  </sheetData>
  <mergeCells count="9">
    <mergeCell ref="L1:M1"/>
    <mergeCell ref="P1:Q1"/>
    <mergeCell ref="N1:O1"/>
    <mergeCell ref="B1:C1"/>
    <mergeCell ref="A1:A2"/>
    <mergeCell ref="D1:E1"/>
    <mergeCell ref="F1:G1"/>
    <mergeCell ref="H1:I1"/>
    <mergeCell ref="J1:K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D8" sqref="D8"/>
    </sheetView>
  </sheetViews>
  <sheetFormatPr defaultRowHeight="19.5" x14ac:dyDescent="0.25"/>
  <cols>
    <col min="2" max="2" width="14.26953125" bestFit="1" customWidth="1"/>
    <col min="3" max="3" width="13.6328125" bestFit="1" customWidth="1"/>
    <col min="4" max="4" width="12.1796875" bestFit="1" customWidth="1"/>
  </cols>
  <sheetData>
    <row r="2" spans="2:5" ht="22.5" x14ac:dyDescent="0.25">
      <c r="B2" s="704" t="s">
        <v>835</v>
      </c>
      <c r="C2" s="704" t="s">
        <v>836</v>
      </c>
      <c r="D2" s="704"/>
      <c r="E2" s="705" t="s">
        <v>834</v>
      </c>
    </row>
    <row r="3" spans="2:5" ht="22.5" x14ac:dyDescent="0.25">
      <c r="B3" s="704"/>
      <c r="C3" s="394" t="s">
        <v>837</v>
      </c>
      <c r="D3" s="394" t="s">
        <v>661</v>
      </c>
      <c r="E3" s="705"/>
    </row>
    <row r="4" spans="2:5" ht="22.5" x14ac:dyDescent="0.25">
      <c r="B4" s="395" t="s">
        <v>830</v>
      </c>
      <c r="C4" s="396">
        <v>9624000</v>
      </c>
      <c r="D4" s="396">
        <v>11627600</v>
      </c>
      <c r="E4" s="397">
        <v>21251600</v>
      </c>
    </row>
    <row r="5" spans="2:5" ht="22.5" x14ac:dyDescent="0.25">
      <c r="B5" s="395" t="s">
        <v>831</v>
      </c>
      <c r="C5" s="396">
        <v>88235.28</v>
      </c>
      <c r="D5" s="396">
        <v>1295490</v>
      </c>
      <c r="E5" s="397">
        <v>1383725.28</v>
      </c>
    </row>
    <row r="6" spans="2:5" ht="22.5" x14ac:dyDescent="0.25">
      <c r="B6" s="395" t="s">
        <v>838</v>
      </c>
      <c r="C6" s="394">
        <v>216</v>
      </c>
      <c r="D6" s="394">
        <v>146.5</v>
      </c>
      <c r="E6" s="398">
        <v>362.5</v>
      </c>
    </row>
    <row r="7" spans="2:5" ht="22.5" x14ac:dyDescent="0.25">
      <c r="B7" s="399" t="s">
        <v>832</v>
      </c>
      <c r="C7" s="397">
        <v>9712235.2799999993</v>
      </c>
      <c r="D7" s="397">
        <v>12923090</v>
      </c>
      <c r="E7" s="397">
        <v>22635325.280000001</v>
      </c>
    </row>
    <row r="8" spans="2:5" ht="22.5" x14ac:dyDescent="0.25">
      <c r="B8" s="399" t="s">
        <v>833</v>
      </c>
      <c r="C8" s="397">
        <v>44964.05</v>
      </c>
      <c r="D8" s="397">
        <v>88212.22</v>
      </c>
      <c r="E8" s="395"/>
    </row>
  </sheetData>
  <mergeCells count="3">
    <mergeCell ref="B2:B3"/>
    <mergeCell ref="C2:D2"/>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0"/>
  <sheetViews>
    <sheetView topLeftCell="A99" zoomScale="115" zoomScaleNormal="115" workbookViewId="0">
      <selection activeCell="A118" sqref="A118"/>
    </sheetView>
  </sheetViews>
  <sheetFormatPr defaultColWidth="9.08984375" defaultRowHeight="18" x14ac:dyDescent="0.45"/>
  <cols>
    <col min="1" max="1" width="50.08984375" style="150" customWidth="1"/>
    <col min="2" max="2" width="1" style="150" hidden="1" customWidth="1"/>
    <col min="3" max="3" width="1.08984375" style="150" hidden="1" customWidth="1"/>
    <col min="4" max="4" width="1.1796875" style="150" hidden="1" customWidth="1"/>
    <col min="5" max="5" width="1.08984375" style="150" hidden="1" customWidth="1"/>
    <col min="6" max="9" width="1.1796875" style="150" hidden="1" customWidth="1"/>
    <col min="10" max="10" width="1.08984375" style="150" hidden="1" customWidth="1"/>
    <col min="11" max="11" width="1.6328125" style="150" hidden="1" customWidth="1"/>
    <col min="12" max="12" width="1.36328125" style="150" hidden="1" customWidth="1"/>
    <col min="13" max="13" width="5.08984375" style="150" hidden="1" customWidth="1"/>
    <col min="14" max="15" width="3.36328125" style="151" hidden="1" customWidth="1"/>
    <col min="16" max="16" width="3.36328125" style="150" hidden="1" customWidth="1"/>
    <col min="17" max="19" width="3.36328125" style="151" hidden="1" customWidth="1"/>
    <col min="20" max="20" width="3.36328125" style="150" hidden="1" customWidth="1"/>
    <col min="21" max="23" width="3.36328125" style="151" hidden="1" customWidth="1"/>
    <col min="24" max="24" width="3.36328125" style="150" hidden="1" customWidth="1"/>
    <col min="25" max="28" width="3.36328125" style="151" hidden="1" customWidth="1"/>
    <col min="29" max="29" width="3.36328125" style="150" hidden="1" customWidth="1"/>
    <col min="30" max="30" width="3.7265625" style="151" hidden="1" customWidth="1"/>
    <col min="31" max="31" width="3.36328125" style="150" hidden="1" customWidth="1"/>
    <col min="32" max="32" width="9.08984375" style="150" hidden="1" customWidth="1"/>
    <col min="33" max="33" width="1" style="150" hidden="1" customWidth="1"/>
    <col min="34" max="34" width="1.08984375" style="150" hidden="1" customWidth="1"/>
    <col min="35" max="35" width="1.1796875" style="150" hidden="1" customWidth="1"/>
    <col min="36" max="36" width="1.08984375" style="150" hidden="1" customWidth="1"/>
    <col min="37" max="40" width="1.1796875" style="150" hidden="1" customWidth="1"/>
    <col min="41" max="41" width="1.08984375" style="150" hidden="1" customWidth="1"/>
    <col min="42" max="42" width="1.6328125" style="150" hidden="1" customWidth="1"/>
    <col min="43" max="43" width="11" style="150" hidden="1" customWidth="1"/>
    <col min="44" max="44" width="5.7265625" style="150" customWidth="1"/>
    <col min="45" max="46" width="3.36328125" style="151" hidden="1" customWidth="1"/>
    <col min="47" max="47" width="3.36328125" style="150" hidden="1" customWidth="1"/>
    <col min="48" max="50" width="3.36328125" style="151" hidden="1" customWidth="1"/>
    <col min="51" max="51" width="3.36328125" style="150" hidden="1" customWidth="1"/>
    <col min="52" max="54" width="3.36328125" style="151" hidden="1" customWidth="1"/>
    <col min="55" max="55" width="3.36328125" style="150" hidden="1" customWidth="1"/>
    <col min="56" max="59" width="3.36328125" style="151" hidden="1" customWidth="1"/>
    <col min="60" max="60" width="3.36328125" style="150" hidden="1" customWidth="1"/>
    <col min="61" max="61" width="3.7265625" style="151" hidden="1" customWidth="1"/>
    <col min="62" max="62" width="3.36328125" style="150" hidden="1" customWidth="1"/>
    <col min="63" max="63" width="9.54296875" style="150" customWidth="1"/>
    <col min="64" max="66" width="3.6328125" style="150" hidden="1" customWidth="1"/>
    <col min="67" max="67" width="3.81640625" style="150" hidden="1" customWidth="1"/>
    <col min="68" max="68" width="10.36328125" style="150" hidden="1" customWidth="1"/>
    <col min="69" max="69" width="10.36328125" style="152" customWidth="1"/>
    <col min="70" max="16384" width="9.08984375" style="150"/>
  </cols>
  <sheetData>
    <row r="1" spans="1:71" ht="27.75" x14ac:dyDescent="0.65">
      <c r="A1" s="149" t="s">
        <v>802</v>
      </c>
    </row>
    <row r="2" spans="1:71" ht="21.6" customHeight="1" x14ac:dyDescent="0.45">
      <c r="A2" s="495" t="s">
        <v>703</v>
      </c>
      <c r="B2" s="497" t="s">
        <v>704</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9"/>
      <c r="BL2" s="503" t="s">
        <v>705</v>
      </c>
      <c r="BM2" s="503"/>
      <c r="BN2" s="503"/>
      <c r="BO2" s="504"/>
      <c r="BP2" s="507" t="s">
        <v>683</v>
      </c>
      <c r="BQ2" s="153"/>
    </row>
    <row r="3" spans="1:71" ht="20.45" customHeight="1" x14ac:dyDescent="0.45">
      <c r="A3" s="495"/>
      <c r="B3" s="508" t="s">
        <v>706</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10"/>
      <c r="AG3" s="511" t="s">
        <v>839</v>
      </c>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3"/>
      <c r="BL3" s="505"/>
      <c r="BM3" s="505"/>
      <c r="BN3" s="505"/>
      <c r="BO3" s="506"/>
      <c r="BP3" s="507"/>
      <c r="BQ3" s="153"/>
      <c r="BS3" s="153"/>
    </row>
    <row r="4" spans="1:71" ht="20.45" customHeight="1" x14ac:dyDescent="0.45">
      <c r="A4" s="495"/>
      <c r="B4" s="485" t="s">
        <v>707</v>
      </c>
      <c r="C4" s="486"/>
      <c r="D4" s="486"/>
      <c r="E4" s="486"/>
      <c r="F4" s="486"/>
      <c r="G4" s="486"/>
      <c r="H4" s="486"/>
      <c r="I4" s="486"/>
      <c r="J4" s="486"/>
      <c r="K4" s="486"/>
      <c r="L4" s="486"/>
      <c r="M4" s="488" t="s">
        <v>708</v>
      </c>
      <c r="N4" s="485" t="s">
        <v>685</v>
      </c>
      <c r="O4" s="487"/>
      <c r="P4" s="483" t="s">
        <v>709</v>
      </c>
      <c r="Q4" s="485" t="s">
        <v>685</v>
      </c>
      <c r="R4" s="486"/>
      <c r="S4" s="487"/>
      <c r="T4" s="483" t="s">
        <v>710</v>
      </c>
      <c r="U4" s="485" t="s">
        <v>685</v>
      </c>
      <c r="V4" s="486"/>
      <c r="W4" s="487"/>
      <c r="X4" s="483" t="s">
        <v>711</v>
      </c>
      <c r="Y4" s="485" t="s">
        <v>685</v>
      </c>
      <c r="Z4" s="486"/>
      <c r="AA4" s="486"/>
      <c r="AB4" s="487"/>
      <c r="AC4" s="483" t="s">
        <v>712</v>
      </c>
      <c r="AD4" s="154" t="s">
        <v>685</v>
      </c>
      <c r="AE4" s="483" t="s">
        <v>713</v>
      </c>
      <c r="AF4" s="488" t="s">
        <v>714</v>
      </c>
      <c r="AG4" s="485" t="s">
        <v>707</v>
      </c>
      <c r="AH4" s="486"/>
      <c r="AI4" s="486"/>
      <c r="AJ4" s="486"/>
      <c r="AK4" s="486"/>
      <c r="AL4" s="486"/>
      <c r="AM4" s="486"/>
      <c r="AN4" s="486"/>
      <c r="AO4" s="486"/>
      <c r="AP4" s="486"/>
      <c r="AQ4" s="486"/>
      <c r="AR4" s="483" t="s">
        <v>708</v>
      </c>
      <c r="AS4" s="485" t="s">
        <v>685</v>
      </c>
      <c r="AT4" s="487"/>
      <c r="AU4" s="483" t="s">
        <v>709</v>
      </c>
      <c r="AV4" s="485" t="s">
        <v>685</v>
      </c>
      <c r="AW4" s="486"/>
      <c r="AX4" s="487"/>
      <c r="AY4" s="483" t="s">
        <v>710</v>
      </c>
      <c r="AZ4" s="485" t="s">
        <v>685</v>
      </c>
      <c r="BA4" s="486"/>
      <c r="BB4" s="487"/>
      <c r="BC4" s="483" t="s">
        <v>711</v>
      </c>
      <c r="BD4" s="485" t="s">
        <v>685</v>
      </c>
      <c r="BE4" s="486"/>
      <c r="BF4" s="486"/>
      <c r="BG4" s="487"/>
      <c r="BH4" s="483" t="s">
        <v>712</v>
      </c>
      <c r="BI4" s="154" t="s">
        <v>685</v>
      </c>
      <c r="BJ4" s="483" t="s">
        <v>713</v>
      </c>
      <c r="BK4" s="500" t="s">
        <v>714</v>
      </c>
      <c r="BL4" s="505"/>
      <c r="BM4" s="505"/>
      <c r="BN4" s="505"/>
      <c r="BO4" s="506"/>
      <c r="BP4" s="507"/>
      <c r="BQ4" s="153"/>
    </row>
    <row r="5" spans="1:71" ht="20.45" customHeight="1" x14ac:dyDescent="0.45">
      <c r="A5" s="496"/>
      <c r="B5" s="155">
        <v>1</v>
      </c>
      <c r="C5" s="155">
        <v>2</v>
      </c>
      <c r="D5" s="155">
        <v>3</v>
      </c>
      <c r="E5" s="155">
        <v>4</v>
      </c>
      <c r="F5" s="155">
        <v>5</v>
      </c>
      <c r="G5" s="155">
        <v>6</v>
      </c>
      <c r="H5" s="155">
        <v>7</v>
      </c>
      <c r="I5" s="155">
        <v>8</v>
      </c>
      <c r="J5" s="155">
        <v>9</v>
      </c>
      <c r="K5" s="155">
        <v>10</v>
      </c>
      <c r="L5" s="155">
        <v>11</v>
      </c>
      <c r="M5" s="489"/>
      <c r="N5" s="156">
        <v>2.1</v>
      </c>
      <c r="O5" s="156">
        <v>2.2000000000000002</v>
      </c>
      <c r="P5" s="484"/>
      <c r="Q5" s="156">
        <v>3.1</v>
      </c>
      <c r="R5" s="156">
        <v>3.2</v>
      </c>
      <c r="S5" s="156">
        <v>3.3</v>
      </c>
      <c r="T5" s="484"/>
      <c r="U5" s="156">
        <v>4.0999999999999996</v>
      </c>
      <c r="V5" s="156">
        <v>4.2</v>
      </c>
      <c r="W5" s="156">
        <v>4.3</v>
      </c>
      <c r="X5" s="484"/>
      <c r="Y5" s="156">
        <v>5.0999999999999996</v>
      </c>
      <c r="Z5" s="156">
        <v>5.2</v>
      </c>
      <c r="AA5" s="156">
        <v>5.3</v>
      </c>
      <c r="AB5" s="156">
        <v>5.4</v>
      </c>
      <c r="AC5" s="484"/>
      <c r="AD5" s="155">
        <v>6.1</v>
      </c>
      <c r="AE5" s="484"/>
      <c r="AF5" s="489"/>
      <c r="AG5" s="155">
        <v>1</v>
      </c>
      <c r="AH5" s="155">
        <v>2</v>
      </c>
      <c r="AI5" s="155">
        <v>3</v>
      </c>
      <c r="AJ5" s="155">
        <v>4</v>
      </c>
      <c r="AK5" s="155">
        <v>5</v>
      </c>
      <c r="AL5" s="155">
        <v>6</v>
      </c>
      <c r="AM5" s="155">
        <v>7</v>
      </c>
      <c r="AN5" s="155">
        <v>8</v>
      </c>
      <c r="AO5" s="155">
        <v>9</v>
      </c>
      <c r="AP5" s="155">
        <v>10</v>
      </c>
      <c r="AQ5" s="155">
        <v>11</v>
      </c>
      <c r="AR5" s="484"/>
      <c r="AS5" s="156">
        <v>2.1</v>
      </c>
      <c r="AT5" s="156">
        <v>2.2000000000000002</v>
      </c>
      <c r="AU5" s="484"/>
      <c r="AV5" s="156">
        <v>3.1</v>
      </c>
      <c r="AW5" s="156">
        <v>3.2</v>
      </c>
      <c r="AX5" s="156">
        <v>3.3</v>
      </c>
      <c r="AY5" s="484"/>
      <c r="AZ5" s="156">
        <v>4.0999999999999996</v>
      </c>
      <c r="BA5" s="156">
        <v>4.2</v>
      </c>
      <c r="BB5" s="156">
        <v>4.3</v>
      </c>
      <c r="BC5" s="484"/>
      <c r="BD5" s="156">
        <v>5.0999999999999996</v>
      </c>
      <c r="BE5" s="156">
        <v>5.2</v>
      </c>
      <c r="BF5" s="156">
        <v>5.3</v>
      </c>
      <c r="BG5" s="156">
        <v>5.4</v>
      </c>
      <c r="BH5" s="484"/>
      <c r="BI5" s="155">
        <v>6.1</v>
      </c>
      <c r="BJ5" s="484"/>
      <c r="BK5" s="501"/>
      <c r="BL5" s="505"/>
      <c r="BM5" s="505"/>
      <c r="BN5" s="505"/>
      <c r="BO5" s="506"/>
      <c r="BP5" s="507"/>
      <c r="BQ5" s="153"/>
      <c r="BS5" s="153"/>
    </row>
    <row r="6" spans="1:71" ht="22.5" x14ac:dyDescent="0.45">
      <c r="A6" s="157" t="s">
        <v>715</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9"/>
      <c r="BL6" s="158"/>
      <c r="BM6" s="158"/>
      <c r="BN6" s="158"/>
      <c r="BO6" s="159"/>
      <c r="BP6" s="160"/>
      <c r="BQ6" s="161"/>
      <c r="BS6" s="153"/>
    </row>
    <row r="7" spans="1:71" ht="22.5" x14ac:dyDescent="0.45">
      <c r="A7" s="418" t="s">
        <v>716</v>
      </c>
      <c r="B7" s="419"/>
      <c r="C7" s="419"/>
      <c r="D7" s="419"/>
      <c r="E7" s="419"/>
      <c r="F7" s="419"/>
      <c r="G7" s="419"/>
      <c r="H7" s="419"/>
      <c r="I7" s="419"/>
      <c r="J7" s="419"/>
      <c r="K7" s="419"/>
      <c r="L7" s="419"/>
      <c r="M7" s="419"/>
      <c r="N7" s="420"/>
      <c r="O7" s="420"/>
      <c r="P7" s="419"/>
      <c r="Q7" s="420"/>
      <c r="R7" s="420"/>
      <c r="S7" s="420"/>
      <c r="T7" s="419"/>
      <c r="U7" s="420"/>
      <c r="V7" s="420"/>
      <c r="W7" s="420"/>
      <c r="X7" s="419"/>
      <c r="Y7" s="420"/>
      <c r="Z7" s="420"/>
      <c r="AA7" s="420"/>
      <c r="AB7" s="420"/>
      <c r="AC7" s="419"/>
      <c r="AD7" s="420"/>
      <c r="AE7" s="419"/>
      <c r="AF7" s="419"/>
      <c r="AG7" s="419"/>
      <c r="AH7" s="419"/>
      <c r="AI7" s="419"/>
      <c r="AJ7" s="419"/>
      <c r="AK7" s="419"/>
      <c r="AL7" s="419"/>
      <c r="AM7" s="419"/>
      <c r="AN7" s="419"/>
      <c r="AO7" s="419"/>
      <c r="AP7" s="419"/>
      <c r="AQ7" s="419"/>
      <c r="AR7" s="419"/>
      <c r="AS7" s="420"/>
      <c r="AT7" s="420"/>
      <c r="AU7" s="419"/>
      <c r="AV7" s="420"/>
      <c r="AW7" s="420"/>
      <c r="AX7" s="420"/>
      <c r="AY7" s="419"/>
      <c r="AZ7" s="420"/>
      <c r="BA7" s="420"/>
      <c r="BB7" s="420"/>
      <c r="BC7" s="419"/>
      <c r="BD7" s="420"/>
      <c r="BE7" s="420"/>
      <c r="BF7" s="420"/>
      <c r="BG7" s="420"/>
      <c r="BH7" s="419"/>
      <c r="BI7" s="420"/>
      <c r="BJ7" s="419"/>
      <c r="BK7" s="421"/>
      <c r="BL7" s="162"/>
      <c r="BM7" s="162"/>
      <c r="BN7" s="162"/>
      <c r="BO7" s="163"/>
      <c r="BP7" s="163"/>
      <c r="BQ7" s="161"/>
    </row>
    <row r="8" spans="1:71" ht="26.25" customHeight="1" x14ac:dyDescent="0.45">
      <c r="A8" s="416" t="s">
        <v>717</v>
      </c>
      <c r="B8" s="171" t="s">
        <v>718</v>
      </c>
      <c r="C8" s="171" t="s">
        <v>718</v>
      </c>
      <c r="D8" s="171" t="s">
        <v>26</v>
      </c>
      <c r="E8" s="171" t="s">
        <v>26</v>
      </c>
      <c r="F8" s="171" t="s">
        <v>26</v>
      </c>
      <c r="G8" s="171" t="s">
        <v>26</v>
      </c>
      <c r="H8" s="171" t="s">
        <v>26</v>
      </c>
      <c r="I8" s="171" t="s">
        <v>26</v>
      </c>
      <c r="J8" s="171" t="s">
        <v>26</v>
      </c>
      <c r="K8" s="171" t="s">
        <v>718</v>
      </c>
      <c r="L8" s="171" t="s">
        <v>718</v>
      </c>
      <c r="M8" s="171" t="s">
        <v>719</v>
      </c>
      <c r="N8" s="172"/>
      <c r="O8" s="172"/>
      <c r="P8" s="171"/>
      <c r="Q8" s="172"/>
      <c r="R8" s="172"/>
      <c r="S8" s="172"/>
      <c r="T8" s="171"/>
      <c r="U8" s="172"/>
      <c r="V8" s="172"/>
      <c r="W8" s="172"/>
      <c r="X8" s="171"/>
      <c r="Y8" s="172"/>
      <c r="Z8" s="172"/>
      <c r="AA8" s="172"/>
      <c r="AB8" s="172"/>
      <c r="AC8" s="171"/>
      <c r="AD8" s="172"/>
      <c r="AE8" s="171"/>
      <c r="AF8" s="173">
        <v>2.31</v>
      </c>
      <c r="AG8" s="171" t="s">
        <v>718</v>
      </c>
      <c r="AH8" s="171" t="s">
        <v>718</v>
      </c>
      <c r="AI8" s="171" t="s">
        <v>26</v>
      </c>
      <c r="AJ8" s="171" t="s">
        <v>26</v>
      </c>
      <c r="AK8" s="171" t="s">
        <v>26</v>
      </c>
      <c r="AL8" s="171" t="s">
        <v>26</v>
      </c>
      <c r="AM8" s="171" t="s">
        <v>26</v>
      </c>
      <c r="AN8" s="171" t="s">
        <v>26</v>
      </c>
      <c r="AO8" s="171" t="s">
        <v>26</v>
      </c>
      <c r="AP8" s="171" t="s">
        <v>718</v>
      </c>
      <c r="AQ8" s="171" t="s">
        <v>718</v>
      </c>
      <c r="AR8" s="143" t="s">
        <v>719</v>
      </c>
      <c r="AS8" s="172"/>
      <c r="AT8" s="172"/>
      <c r="AU8" s="174"/>
      <c r="AV8" s="172"/>
      <c r="AW8" s="172"/>
      <c r="AX8" s="172"/>
      <c r="AY8" s="174"/>
      <c r="AZ8" s="172"/>
      <c r="BA8" s="172"/>
      <c r="BB8" s="172"/>
      <c r="BC8" s="174"/>
      <c r="BD8" s="172"/>
      <c r="BE8" s="172"/>
      <c r="BF8" s="172"/>
      <c r="BG8" s="172"/>
      <c r="BH8" s="174"/>
      <c r="BI8" s="172"/>
      <c r="BJ8" s="174"/>
      <c r="BK8" s="417">
        <v>3.34</v>
      </c>
      <c r="BL8" s="239" t="str">
        <f t="shared" ref="BL8:BL16" si="0">IF(M8="","",IF(AF8&lt;BK8,"เพิ่มขึ้น",IF(AF8&gt;BK8,"ลดลง",IF(AF8=BK8,"คงที่",""))))</f>
        <v>เพิ่มขึ้น</v>
      </c>
      <c r="BM8" s="166">
        <f>IF(BL8="","",IF(BL8="เพิ่มขึ้น",1,IF(BL8="ลดลง",0)))</f>
        <v>1</v>
      </c>
      <c r="BN8" s="166">
        <f>IF(BL8="","",IF(BL8="เพิ่มขึ้น",0,IF(BL8="ลดลง",1)))</f>
        <v>0</v>
      </c>
      <c r="BO8" s="167">
        <f>SUM(BK8-AF8)/5*100</f>
        <v>20.599999999999994</v>
      </c>
      <c r="BP8" s="168">
        <v>21765</v>
      </c>
      <c r="BQ8" s="169"/>
    </row>
    <row r="9" spans="1:71" ht="22.5" customHeight="1" x14ac:dyDescent="0.45">
      <c r="A9" s="416" t="s">
        <v>720</v>
      </c>
      <c r="B9" s="171" t="s">
        <v>718</v>
      </c>
      <c r="C9" s="171" t="s">
        <v>718</v>
      </c>
      <c r="D9" s="171" t="s">
        <v>26</v>
      </c>
      <c r="E9" s="171" t="s">
        <v>26</v>
      </c>
      <c r="F9" s="171" t="s">
        <v>26</v>
      </c>
      <c r="G9" s="171" t="s">
        <v>26</v>
      </c>
      <c r="H9" s="171" t="s">
        <v>26</v>
      </c>
      <c r="I9" s="171" t="s">
        <v>26</v>
      </c>
      <c r="J9" s="171" t="s">
        <v>26</v>
      </c>
      <c r="K9" s="171" t="s">
        <v>718</v>
      </c>
      <c r="L9" s="171" t="s">
        <v>718</v>
      </c>
      <c r="M9" s="171" t="s">
        <v>719</v>
      </c>
      <c r="N9" s="172"/>
      <c r="O9" s="172"/>
      <c r="P9" s="171"/>
      <c r="Q9" s="172"/>
      <c r="R9" s="172"/>
      <c r="S9" s="172"/>
      <c r="T9" s="171"/>
      <c r="U9" s="172"/>
      <c r="V9" s="172"/>
      <c r="W9" s="172"/>
      <c r="X9" s="171"/>
      <c r="Y9" s="172"/>
      <c r="Z9" s="172"/>
      <c r="AA9" s="172"/>
      <c r="AB9" s="172"/>
      <c r="AC9" s="171"/>
      <c r="AD9" s="172"/>
      <c r="AE9" s="171"/>
      <c r="AF9" s="173">
        <v>2.29</v>
      </c>
      <c r="AG9" s="171" t="s">
        <v>718</v>
      </c>
      <c r="AH9" s="171" t="s">
        <v>718</v>
      </c>
      <c r="AI9" s="171" t="s">
        <v>26</v>
      </c>
      <c r="AJ9" s="171" t="s">
        <v>26</v>
      </c>
      <c r="AK9" s="171" t="s">
        <v>26</v>
      </c>
      <c r="AL9" s="171" t="s">
        <v>26</v>
      </c>
      <c r="AM9" s="171" t="s">
        <v>26</v>
      </c>
      <c r="AN9" s="171" t="s">
        <v>26</v>
      </c>
      <c r="AO9" s="171" t="s">
        <v>26</v>
      </c>
      <c r="AP9" s="171" t="s">
        <v>718</v>
      </c>
      <c r="AQ9" s="171" t="s">
        <v>718</v>
      </c>
      <c r="AR9" s="143" t="s">
        <v>719</v>
      </c>
      <c r="AS9" s="172"/>
      <c r="AT9" s="172"/>
      <c r="AU9" s="174"/>
      <c r="AV9" s="172"/>
      <c r="AW9" s="172"/>
      <c r="AX9" s="172"/>
      <c r="AY9" s="174"/>
      <c r="AZ9" s="172"/>
      <c r="BA9" s="172"/>
      <c r="BB9" s="172"/>
      <c r="BC9" s="174"/>
      <c r="BD9" s="172"/>
      <c r="BE9" s="172"/>
      <c r="BF9" s="172"/>
      <c r="BG9" s="172"/>
      <c r="BH9" s="174"/>
      <c r="BI9" s="172"/>
      <c r="BJ9" s="174"/>
      <c r="BK9" s="417">
        <v>3.26</v>
      </c>
      <c r="BL9" s="147" t="str">
        <f t="shared" si="0"/>
        <v>เพิ่มขึ้น</v>
      </c>
      <c r="BM9" s="143">
        <f t="shared" ref="BM9:BM16" si="1">IF(BL9="","",IF(BL9="เพิ่มขึ้น",1,IF(BL9="ลดลง",0)))</f>
        <v>1</v>
      </c>
      <c r="BN9" s="143">
        <f t="shared" ref="BN9:BN16" si="2">IF(BL9="","",IF(BL9="เพิ่มขึ้น",0,IF(BL9="ลดลง",1)))</f>
        <v>0</v>
      </c>
      <c r="BO9" s="175">
        <f t="shared" ref="BO9:BO21" si="3">SUM(BK9-AF9)/5*100</f>
        <v>19.399999999999995</v>
      </c>
      <c r="BP9" s="168">
        <v>21764</v>
      </c>
      <c r="BQ9" s="169"/>
    </row>
    <row r="10" spans="1:71" ht="21.75" customHeight="1" x14ac:dyDescent="0.45">
      <c r="A10" s="416" t="s">
        <v>721</v>
      </c>
      <c r="B10" s="171" t="s">
        <v>718</v>
      </c>
      <c r="C10" s="171" t="s">
        <v>718</v>
      </c>
      <c r="D10" s="171" t="s">
        <v>26</v>
      </c>
      <c r="E10" s="171" t="s">
        <v>26</v>
      </c>
      <c r="F10" s="171" t="s">
        <v>26</v>
      </c>
      <c r="G10" s="171" t="s">
        <v>26</v>
      </c>
      <c r="H10" s="171" t="s">
        <v>26</v>
      </c>
      <c r="I10" s="171" t="s">
        <v>26</v>
      </c>
      <c r="J10" s="171" t="s">
        <v>26</v>
      </c>
      <c r="K10" s="171" t="s">
        <v>718</v>
      </c>
      <c r="L10" s="171" t="s">
        <v>718</v>
      </c>
      <c r="M10" s="171" t="s">
        <v>719</v>
      </c>
      <c r="N10" s="172"/>
      <c r="O10" s="172"/>
      <c r="P10" s="171"/>
      <c r="Q10" s="172"/>
      <c r="R10" s="172"/>
      <c r="S10" s="172"/>
      <c r="T10" s="171"/>
      <c r="U10" s="172"/>
      <c r="V10" s="172"/>
      <c r="W10" s="172"/>
      <c r="X10" s="171"/>
      <c r="Y10" s="172"/>
      <c r="Z10" s="172"/>
      <c r="AA10" s="172"/>
      <c r="AB10" s="172"/>
      <c r="AC10" s="171"/>
      <c r="AD10" s="172"/>
      <c r="AE10" s="171"/>
      <c r="AF10" s="173">
        <v>2.0699999999999998</v>
      </c>
      <c r="AG10" s="171" t="s">
        <v>718</v>
      </c>
      <c r="AH10" s="171" t="s">
        <v>718</v>
      </c>
      <c r="AI10" s="171" t="s">
        <v>26</v>
      </c>
      <c r="AJ10" s="171" t="s">
        <v>26</v>
      </c>
      <c r="AK10" s="171" t="s">
        <v>26</v>
      </c>
      <c r="AL10" s="171" t="s">
        <v>26</v>
      </c>
      <c r="AM10" s="171" t="s">
        <v>26</v>
      </c>
      <c r="AN10" s="171" t="s">
        <v>26</v>
      </c>
      <c r="AO10" s="171" t="s">
        <v>26</v>
      </c>
      <c r="AP10" s="171" t="s">
        <v>718</v>
      </c>
      <c r="AQ10" s="171" t="s">
        <v>718</v>
      </c>
      <c r="AR10" s="143" t="s">
        <v>719</v>
      </c>
      <c r="AS10" s="172"/>
      <c r="AT10" s="172"/>
      <c r="AU10" s="174"/>
      <c r="AV10" s="172"/>
      <c r="AW10" s="172"/>
      <c r="AX10" s="172"/>
      <c r="AY10" s="174"/>
      <c r="AZ10" s="172"/>
      <c r="BA10" s="172"/>
      <c r="BB10" s="172"/>
      <c r="BC10" s="174"/>
      <c r="BD10" s="172"/>
      <c r="BE10" s="172"/>
      <c r="BF10" s="172"/>
      <c r="BG10" s="172"/>
      <c r="BH10" s="174"/>
      <c r="BI10" s="172"/>
      <c r="BJ10" s="174"/>
      <c r="BK10" s="417">
        <v>3.55</v>
      </c>
      <c r="BL10" s="147" t="str">
        <f t="shared" si="0"/>
        <v>เพิ่มขึ้น</v>
      </c>
      <c r="BM10" s="143">
        <f t="shared" si="1"/>
        <v>1</v>
      </c>
      <c r="BN10" s="143">
        <f t="shared" si="2"/>
        <v>0</v>
      </c>
      <c r="BO10" s="175">
        <f t="shared" si="3"/>
        <v>29.599999999999998</v>
      </c>
      <c r="BP10" s="168">
        <v>21763</v>
      </c>
      <c r="BQ10" s="169"/>
    </row>
    <row r="11" spans="1:71" ht="21" customHeight="1" x14ac:dyDescent="0.45">
      <c r="A11" s="416" t="s">
        <v>722</v>
      </c>
      <c r="B11" s="171" t="s">
        <v>718</v>
      </c>
      <c r="C11" s="171" t="s">
        <v>718</v>
      </c>
      <c r="D11" s="171" t="s">
        <v>26</v>
      </c>
      <c r="E11" s="171" t="s">
        <v>26</v>
      </c>
      <c r="F11" s="171" t="s">
        <v>26</v>
      </c>
      <c r="G11" s="171" t="s">
        <v>26</v>
      </c>
      <c r="H11" s="171" t="s">
        <v>26</v>
      </c>
      <c r="I11" s="171" t="s">
        <v>26</v>
      </c>
      <c r="J11" s="171" t="s">
        <v>26</v>
      </c>
      <c r="K11" s="171" t="s">
        <v>718</v>
      </c>
      <c r="L11" s="171" t="s">
        <v>718</v>
      </c>
      <c r="M11" s="171" t="s">
        <v>719</v>
      </c>
      <c r="N11" s="172"/>
      <c r="O11" s="172"/>
      <c r="P11" s="171"/>
      <c r="Q11" s="172"/>
      <c r="R11" s="172"/>
      <c r="S11" s="172"/>
      <c r="T11" s="171"/>
      <c r="U11" s="172"/>
      <c r="V11" s="172"/>
      <c r="W11" s="172"/>
      <c r="X11" s="171"/>
      <c r="Y11" s="172"/>
      <c r="Z11" s="172"/>
      <c r="AA11" s="172"/>
      <c r="AB11" s="172"/>
      <c r="AC11" s="171"/>
      <c r="AD11" s="172"/>
      <c r="AE11" s="171"/>
      <c r="AF11" s="173">
        <v>2.5499999999999998</v>
      </c>
      <c r="AG11" s="171" t="s">
        <v>718</v>
      </c>
      <c r="AH11" s="171" t="s">
        <v>718</v>
      </c>
      <c r="AI11" s="171" t="s">
        <v>26</v>
      </c>
      <c r="AJ11" s="171" t="s">
        <v>26</v>
      </c>
      <c r="AK11" s="171" t="s">
        <v>26</v>
      </c>
      <c r="AL11" s="171" t="s">
        <v>26</v>
      </c>
      <c r="AM11" s="171" t="s">
        <v>26</v>
      </c>
      <c r="AN11" s="171" t="s">
        <v>26</v>
      </c>
      <c r="AO11" s="171" t="s">
        <v>26</v>
      </c>
      <c r="AP11" s="171" t="s">
        <v>718</v>
      </c>
      <c r="AQ11" s="171" t="s">
        <v>718</v>
      </c>
      <c r="AR11" s="143" t="s">
        <v>719</v>
      </c>
      <c r="AS11" s="172"/>
      <c r="AT11" s="172"/>
      <c r="AU11" s="174"/>
      <c r="AV11" s="172"/>
      <c r="AW11" s="172"/>
      <c r="AX11" s="172"/>
      <c r="AY11" s="174"/>
      <c r="AZ11" s="172"/>
      <c r="BA11" s="172"/>
      <c r="BB11" s="172"/>
      <c r="BC11" s="174"/>
      <c r="BD11" s="172"/>
      <c r="BE11" s="172"/>
      <c r="BF11" s="172"/>
      <c r="BG11" s="172"/>
      <c r="BH11" s="174"/>
      <c r="BI11" s="172"/>
      <c r="BJ11" s="174"/>
      <c r="BK11" s="417">
        <v>3.55</v>
      </c>
      <c r="BL11" s="147" t="str">
        <f t="shared" si="0"/>
        <v>เพิ่มขึ้น</v>
      </c>
      <c r="BM11" s="143">
        <f t="shared" si="1"/>
        <v>1</v>
      </c>
      <c r="BN11" s="143">
        <f t="shared" si="2"/>
        <v>0</v>
      </c>
      <c r="BO11" s="175">
        <f t="shared" si="3"/>
        <v>20</v>
      </c>
      <c r="BP11" s="168">
        <v>21763</v>
      </c>
      <c r="BQ11" s="169"/>
    </row>
    <row r="12" spans="1:71" ht="22.5" customHeight="1" x14ac:dyDescent="0.45">
      <c r="A12" s="416" t="s">
        <v>723</v>
      </c>
      <c r="B12" s="171" t="s">
        <v>718</v>
      </c>
      <c r="C12" s="171" t="s">
        <v>718</v>
      </c>
      <c r="D12" s="171" t="s">
        <v>26</v>
      </c>
      <c r="E12" s="171" t="s">
        <v>26</v>
      </c>
      <c r="F12" s="171" t="s">
        <v>26</v>
      </c>
      <c r="G12" s="171" t="s">
        <v>26</v>
      </c>
      <c r="H12" s="171" t="s">
        <v>26</v>
      </c>
      <c r="I12" s="171" t="s">
        <v>26</v>
      </c>
      <c r="J12" s="171" t="s">
        <v>26</v>
      </c>
      <c r="K12" s="171" t="s">
        <v>718</v>
      </c>
      <c r="L12" s="171" t="s">
        <v>718</v>
      </c>
      <c r="M12" s="171" t="s">
        <v>719</v>
      </c>
      <c r="N12" s="172"/>
      <c r="O12" s="172"/>
      <c r="P12" s="171"/>
      <c r="Q12" s="172"/>
      <c r="R12" s="172"/>
      <c r="S12" s="172"/>
      <c r="T12" s="171"/>
      <c r="U12" s="172"/>
      <c r="V12" s="172"/>
      <c r="W12" s="172"/>
      <c r="X12" s="171"/>
      <c r="Y12" s="172"/>
      <c r="Z12" s="172"/>
      <c r="AA12" s="172"/>
      <c r="AB12" s="172"/>
      <c r="AC12" s="171"/>
      <c r="AD12" s="172"/>
      <c r="AE12" s="171"/>
      <c r="AF12" s="173">
        <v>1.67</v>
      </c>
      <c r="AG12" s="171" t="s">
        <v>718</v>
      </c>
      <c r="AH12" s="171" t="s">
        <v>718</v>
      </c>
      <c r="AI12" s="171" t="s">
        <v>26</v>
      </c>
      <c r="AJ12" s="171" t="s">
        <v>26</v>
      </c>
      <c r="AK12" s="171" t="s">
        <v>26</v>
      </c>
      <c r="AL12" s="171" t="s">
        <v>26</v>
      </c>
      <c r="AM12" s="171" t="s">
        <v>26</v>
      </c>
      <c r="AN12" s="171" t="s">
        <v>26</v>
      </c>
      <c r="AO12" s="171" t="s">
        <v>26</v>
      </c>
      <c r="AP12" s="171" t="s">
        <v>718</v>
      </c>
      <c r="AQ12" s="171" t="s">
        <v>718</v>
      </c>
      <c r="AR12" s="143" t="s">
        <v>719</v>
      </c>
      <c r="AS12" s="172"/>
      <c r="AT12" s="172"/>
      <c r="AU12" s="174"/>
      <c r="AV12" s="172"/>
      <c r="AW12" s="172"/>
      <c r="AX12" s="172"/>
      <c r="AY12" s="174"/>
      <c r="AZ12" s="172"/>
      <c r="BA12" s="172"/>
      <c r="BB12" s="172"/>
      <c r="BC12" s="174"/>
      <c r="BD12" s="172"/>
      <c r="BE12" s="172"/>
      <c r="BF12" s="172"/>
      <c r="BG12" s="172"/>
      <c r="BH12" s="174"/>
      <c r="BI12" s="172"/>
      <c r="BJ12" s="174"/>
      <c r="BK12" s="417">
        <v>3.49</v>
      </c>
      <c r="BL12" s="147" t="str">
        <f t="shared" si="0"/>
        <v>เพิ่มขึ้น</v>
      </c>
      <c r="BM12" s="143">
        <f t="shared" si="1"/>
        <v>1</v>
      </c>
      <c r="BN12" s="143">
        <f t="shared" si="2"/>
        <v>0</v>
      </c>
      <c r="BO12" s="175">
        <f t="shared" si="3"/>
        <v>36.400000000000006</v>
      </c>
      <c r="BP12" s="168">
        <v>21764</v>
      </c>
      <c r="BQ12" s="169"/>
    </row>
    <row r="13" spans="1:71" ht="19.5" customHeight="1" x14ac:dyDescent="0.45">
      <c r="A13" s="416" t="s">
        <v>724</v>
      </c>
      <c r="B13" s="171" t="s">
        <v>718</v>
      </c>
      <c r="C13" s="171" t="s">
        <v>718</v>
      </c>
      <c r="D13" s="171" t="s">
        <v>26</v>
      </c>
      <c r="E13" s="171" t="s">
        <v>26</v>
      </c>
      <c r="F13" s="171" t="s">
        <v>26</v>
      </c>
      <c r="G13" s="171" t="s">
        <v>26</v>
      </c>
      <c r="H13" s="171" t="s">
        <v>26</v>
      </c>
      <c r="I13" s="171" t="s">
        <v>26</v>
      </c>
      <c r="J13" s="171" t="s">
        <v>26</v>
      </c>
      <c r="K13" s="171" t="s">
        <v>718</v>
      </c>
      <c r="L13" s="171" t="s">
        <v>718</v>
      </c>
      <c r="M13" s="171" t="s">
        <v>719</v>
      </c>
      <c r="N13" s="172"/>
      <c r="O13" s="172"/>
      <c r="P13" s="171"/>
      <c r="Q13" s="172"/>
      <c r="R13" s="172"/>
      <c r="S13" s="172"/>
      <c r="T13" s="171"/>
      <c r="U13" s="172"/>
      <c r="V13" s="172"/>
      <c r="W13" s="172"/>
      <c r="X13" s="171"/>
      <c r="Y13" s="172"/>
      <c r="Z13" s="172"/>
      <c r="AA13" s="172"/>
      <c r="AB13" s="172"/>
      <c r="AC13" s="171"/>
      <c r="AD13" s="172"/>
      <c r="AE13" s="171"/>
      <c r="AF13" s="173">
        <v>2.72</v>
      </c>
      <c r="AG13" s="171" t="s">
        <v>718</v>
      </c>
      <c r="AH13" s="171" t="s">
        <v>718</v>
      </c>
      <c r="AI13" s="171" t="s">
        <v>26</v>
      </c>
      <c r="AJ13" s="171" t="s">
        <v>26</v>
      </c>
      <c r="AK13" s="171" t="s">
        <v>26</v>
      </c>
      <c r="AL13" s="171" t="s">
        <v>26</v>
      </c>
      <c r="AM13" s="171" t="s">
        <v>26</v>
      </c>
      <c r="AN13" s="171" t="s">
        <v>26</v>
      </c>
      <c r="AO13" s="171" t="s">
        <v>26</v>
      </c>
      <c r="AP13" s="171" t="s">
        <v>718</v>
      </c>
      <c r="AQ13" s="171" t="s">
        <v>718</v>
      </c>
      <c r="AR13" s="143" t="s">
        <v>719</v>
      </c>
      <c r="AS13" s="172"/>
      <c r="AT13" s="172"/>
      <c r="AU13" s="174"/>
      <c r="AV13" s="172"/>
      <c r="AW13" s="172"/>
      <c r="AX13" s="172"/>
      <c r="AY13" s="174"/>
      <c r="AZ13" s="172"/>
      <c r="BA13" s="172"/>
      <c r="BB13" s="172"/>
      <c r="BC13" s="174"/>
      <c r="BD13" s="172"/>
      <c r="BE13" s="172"/>
      <c r="BF13" s="172"/>
      <c r="BG13" s="172"/>
      <c r="BH13" s="174"/>
      <c r="BI13" s="172"/>
      <c r="BJ13" s="174"/>
      <c r="BK13" s="417">
        <v>3.26</v>
      </c>
      <c r="BL13" s="147" t="str">
        <f t="shared" si="0"/>
        <v>เพิ่มขึ้น</v>
      </c>
      <c r="BM13" s="143">
        <f t="shared" si="1"/>
        <v>1</v>
      </c>
      <c r="BN13" s="143">
        <f t="shared" si="2"/>
        <v>0</v>
      </c>
      <c r="BO13" s="175">
        <f t="shared" si="3"/>
        <v>10.799999999999992</v>
      </c>
      <c r="BP13" s="168">
        <v>21764</v>
      </c>
      <c r="BQ13" s="169"/>
    </row>
    <row r="14" spans="1:71" ht="22.5" customHeight="1" x14ac:dyDescent="0.45">
      <c r="A14" s="416" t="s">
        <v>725</v>
      </c>
      <c r="B14" s="171" t="s">
        <v>718</v>
      </c>
      <c r="C14" s="171" t="s">
        <v>718</v>
      </c>
      <c r="D14" s="171" t="s">
        <v>26</v>
      </c>
      <c r="E14" s="171" t="s">
        <v>26</v>
      </c>
      <c r="F14" s="171" t="s">
        <v>26</v>
      </c>
      <c r="G14" s="171" t="s">
        <v>26</v>
      </c>
      <c r="H14" s="171" t="s">
        <v>26</v>
      </c>
      <c r="I14" s="171" t="s">
        <v>26</v>
      </c>
      <c r="J14" s="171" t="s">
        <v>26</v>
      </c>
      <c r="K14" s="171" t="s">
        <v>718</v>
      </c>
      <c r="L14" s="171" t="s">
        <v>718</v>
      </c>
      <c r="M14" s="171" t="s">
        <v>719</v>
      </c>
      <c r="N14" s="172"/>
      <c r="O14" s="172"/>
      <c r="P14" s="171"/>
      <c r="Q14" s="172"/>
      <c r="R14" s="172"/>
      <c r="S14" s="172"/>
      <c r="T14" s="171"/>
      <c r="U14" s="172"/>
      <c r="V14" s="172"/>
      <c r="W14" s="172"/>
      <c r="X14" s="171"/>
      <c r="Y14" s="172"/>
      <c r="Z14" s="172"/>
      <c r="AA14" s="172"/>
      <c r="AB14" s="172"/>
      <c r="AC14" s="171"/>
      <c r="AD14" s="172"/>
      <c r="AE14" s="171"/>
      <c r="AF14" s="176">
        <v>2.35</v>
      </c>
      <c r="AG14" s="171" t="s">
        <v>718</v>
      </c>
      <c r="AH14" s="171" t="s">
        <v>718</v>
      </c>
      <c r="AI14" s="171" t="s">
        <v>26</v>
      </c>
      <c r="AJ14" s="171" t="s">
        <v>26</v>
      </c>
      <c r="AK14" s="171" t="s">
        <v>26</v>
      </c>
      <c r="AL14" s="171" t="s">
        <v>26</v>
      </c>
      <c r="AM14" s="171" t="s">
        <v>26</v>
      </c>
      <c r="AN14" s="171" t="s">
        <v>26</v>
      </c>
      <c r="AO14" s="171" t="s">
        <v>26</v>
      </c>
      <c r="AP14" s="171" t="s">
        <v>718</v>
      </c>
      <c r="AQ14" s="171" t="s">
        <v>718</v>
      </c>
      <c r="AR14" s="143" t="s">
        <v>719</v>
      </c>
      <c r="AS14" s="172"/>
      <c r="AT14" s="172"/>
      <c r="AU14" s="174"/>
      <c r="AV14" s="172"/>
      <c r="AW14" s="172"/>
      <c r="AX14" s="172"/>
      <c r="AY14" s="174"/>
      <c r="AZ14" s="172"/>
      <c r="BA14" s="172"/>
      <c r="BB14" s="172"/>
      <c r="BC14" s="174"/>
      <c r="BD14" s="172"/>
      <c r="BE14" s="172"/>
      <c r="BF14" s="172"/>
      <c r="BG14" s="172"/>
      <c r="BH14" s="174"/>
      <c r="BI14" s="172"/>
      <c r="BJ14" s="174"/>
      <c r="BK14" s="417">
        <v>3.6</v>
      </c>
      <c r="BL14" s="147" t="str">
        <f t="shared" si="0"/>
        <v>เพิ่มขึ้น</v>
      </c>
      <c r="BM14" s="143">
        <f t="shared" si="1"/>
        <v>1</v>
      </c>
      <c r="BN14" s="143">
        <f t="shared" si="2"/>
        <v>0</v>
      </c>
      <c r="BO14" s="175">
        <f t="shared" si="3"/>
        <v>25</v>
      </c>
      <c r="BP14" s="168">
        <v>21765</v>
      </c>
      <c r="BQ14" s="169"/>
    </row>
    <row r="15" spans="1:71" ht="22.5" customHeight="1" x14ac:dyDescent="0.45">
      <c r="A15" s="416" t="s">
        <v>726</v>
      </c>
      <c r="B15" s="171" t="s">
        <v>718</v>
      </c>
      <c r="C15" s="171" t="s">
        <v>718</v>
      </c>
      <c r="D15" s="171" t="s">
        <v>26</v>
      </c>
      <c r="E15" s="171" t="s">
        <v>26</v>
      </c>
      <c r="F15" s="171" t="s">
        <v>26</v>
      </c>
      <c r="G15" s="171" t="s">
        <v>26</v>
      </c>
      <c r="H15" s="171" t="s">
        <v>26</v>
      </c>
      <c r="I15" s="171" t="s">
        <v>26</v>
      </c>
      <c r="J15" s="171" t="s">
        <v>26</v>
      </c>
      <c r="K15" s="171" t="s">
        <v>718</v>
      </c>
      <c r="L15" s="171" t="s">
        <v>718</v>
      </c>
      <c r="M15" s="171" t="s">
        <v>719</v>
      </c>
      <c r="N15" s="172"/>
      <c r="O15" s="172"/>
      <c r="P15" s="171"/>
      <c r="Q15" s="172"/>
      <c r="R15" s="172"/>
      <c r="S15" s="172"/>
      <c r="T15" s="171"/>
      <c r="U15" s="172"/>
      <c r="V15" s="172"/>
      <c r="W15" s="172"/>
      <c r="X15" s="171"/>
      <c r="Y15" s="172"/>
      <c r="Z15" s="172"/>
      <c r="AA15" s="172"/>
      <c r="AB15" s="172"/>
      <c r="AC15" s="171"/>
      <c r="AD15" s="172"/>
      <c r="AE15" s="171"/>
      <c r="AF15" s="173">
        <v>1.47</v>
      </c>
      <c r="AG15" s="171" t="s">
        <v>718</v>
      </c>
      <c r="AH15" s="171" t="s">
        <v>718</v>
      </c>
      <c r="AI15" s="171" t="s">
        <v>26</v>
      </c>
      <c r="AJ15" s="171" t="s">
        <v>26</v>
      </c>
      <c r="AK15" s="171" t="s">
        <v>26</v>
      </c>
      <c r="AL15" s="171" t="s">
        <v>26</v>
      </c>
      <c r="AM15" s="171" t="s">
        <v>26</v>
      </c>
      <c r="AN15" s="171" t="s">
        <v>26</v>
      </c>
      <c r="AO15" s="171" t="s">
        <v>26</v>
      </c>
      <c r="AP15" s="171" t="s">
        <v>718</v>
      </c>
      <c r="AQ15" s="171" t="s">
        <v>718</v>
      </c>
      <c r="AR15" s="143" t="s">
        <v>719</v>
      </c>
      <c r="AS15" s="172"/>
      <c r="AT15" s="172"/>
      <c r="AU15" s="174"/>
      <c r="AV15" s="172"/>
      <c r="AW15" s="172"/>
      <c r="AX15" s="172"/>
      <c r="AY15" s="174"/>
      <c r="AZ15" s="172"/>
      <c r="BA15" s="172"/>
      <c r="BB15" s="172"/>
      <c r="BC15" s="174"/>
      <c r="BD15" s="172"/>
      <c r="BE15" s="172"/>
      <c r="BF15" s="172"/>
      <c r="BG15" s="172"/>
      <c r="BH15" s="174"/>
      <c r="BI15" s="172"/>
      <c r="BJ15" s="174"/>
      <c r="BK15" s="417">
        <v>3.84</v>
      </c>
      <c r="BL15" s="147" t="str">
        <f t="shared" si="0"/>
        <v>เพิ่มขึ้น</v>
      </c>
      <c r="BM15" s="143">
        <f t="shared" si="1"/>
        <v>1</v>
      </c>
      <c r="BN15" s="143">
        <f t="shared" si="2"/>
        <v>0</v>
      </c>
      <c r="BO15" s="175">
        <f t="shared" si="3"/>
        <v>47.400000000000006</v>
      </c>
      <c r="BP15" s="168">
        <v>21767</v>
      </c>
      <c r="BQ15" s="169"/>
    </row>
    <row r="16" spans="1:71" ht="22.5" customHeight="1" x14ac:dyDescent="0.45">
      <c r="A16" s="416" t="s">
        <v>727</v>
      </c>
      <c r="B16" s="171" t="s">
        <v>718</v>
      </c>
      <c r="C16" s="171" t="s">
        <v>718</v>
      </c>
      <c r="D16" s="171" t="s">
        <v>26</v>
      </c>
      <c r="E16" s="171" t="s">
        <v>26</v>
      </c>
      <c r="F16" s="171" t="s">
        <v>26</v>
      </c>
      <c r="G16" s="171" t="s">
        <v>26</v>
      </c>
      <c r="H16" s="171" t="s">
        <v>26</v>
      </c>
      <c r="I16" s="171" t="s">
        <v>26</v>
      </c>
      <c r="J16" s="171" t="s">
        <v>26</v>
      </c>
      <c r="K16" s="171" t="s">
        <v>718</v>
      </c>
      <c r="L16" s="171" t="s">
        <v>718</v>
      </c>
      <c r="M16" s="171" t="s">
        <v>719</v>
      </c>
      <c r="N16" s="172"/>
      <c r="O16" s="172"/>
      <c r="P16" s="171"/>
      <c r="Q16" s="172"/>
      <c r="R16" s="172"/>
      <c r="S16" s="172"/>
      <c r="T16" s="171"/>
      <c r="U16" s="172"/>
      <c r="V16" s="172"/>
      <c r="W16" s="172"/>
      <c r="X16" s="171"/>
      <c r="Y16" s="172"/>
      <c r="Z16" s="172"/>
      <c r="AA16" s="172"/>
      <c r="AB16" s="172"/>
      <c r="AC16" s="171"/>
      <c r="AD16" s="172"/>
      <c r="AE16" s="171"/>
      <c r="AF16" s="173">
        <v>1.18</v>
      </c>
      <c r="AG16" s="171" t="s">
        <v>718</v>
      </c>
      <c r="AH16" s="171" t="s">
        <v>718</v>
      </c>
      <c r="AI16" s="171" t="s">
        <v>26</v>
      </c>
      <c r="AJ16" s="171" t="s">
        <v>26</v>
      </c>
      <c r="AK16" s="171" t="s">
        <v>26</v>
      </c>
      <c r="AL16" s="171" t="s">
        <v>26</v>
      </c>
      <c r="AM16" s="171" t="s">
        <v>26</v>
      </c>
      <c r="AN16" s="171" t="s">
        <v>26</v>
      </c>
      <c r="AO16" s="171" t="s">
        <v>26</v>
      </c>
      <c r="AP16" s="171" t="s">
        <v>718</v>
      </c>
      <c r="AQ16" s="171" t="s">
        <v>718</v>
      </c>
      <c r="AR16" s="143" t="s">
        <v>719</v>
      </c>
      <c r="AS16" s="172"/>
      <c r="AT16" s="172"/>
      <c r="AU16" s="174"/>
      <c r="AV16" s="172"/>
      <c r="AW16" s="172"/>
      <c r="AX16" s="172"/>
      <c r="AY16" s="174"/>
      <c r="AZ16" s="172"/>
      <c r="BA16" s="172"/>
      <c r="BB16" s="172"/>
      <c r="BC16" s="174"/>
      <c r="BD16" s="172"/>
      <c r="BE16" s="172"/>
      <c r="BF16" s="172"/>
      <c r="BG16" s="172"/>
      <c r="BH16" s="174"/>
      <c r="BI16" s="172"/>
      <c r="BJ16" s="174"/>
      <c r="BK16" s="417">
        <v>3.33</v>
      </c>
      <c r="BL16" s="240" t="str">
        <f t="shared" si="0"/>
        <v>เพิ่มขึ้น</v>
      </c>
      <c r="BM16" s="177">
        <f t="shared" si="1"/>
        <v>1</v>
      </c>
      <c r="BN16" s="177">
        <f t="shared" si="2"/>
        <v>0</v>
      </c>
      <c r="BO16" s="178">
        <f t="shared" si="3"/>
        <v>43.000000000000007</v>
      </c>
      <c r="BP16" s="168">
        <v>21766</v>
      </c>
      <c r="BQ16" s="169"/>
    </row>
    <row r="17" spans="1:69" ht="23.25" thickBot="1" x14ac:dyDescent="0.5">
      <c r="A17" s="422" t="s">
        <v>728</v>
      </c>
      <c r="B17" s="423"/>
      <c r="C17" s="423"/>
      <c r="D17" s="423"/>
      <c r="E17" s="423"/>
      <c r="F17" s="423"/>
      <c r="G17" s="423"/>
      <c r="H17" s="423"/>
      <c r="I17" s="423"/>
      <c r="J17" s="423"/>
      <c r="K17" s="423"/>
      <c r="L17" s="423"/>
      <c r="M17" s="423"/>
      <c r="N17" s="411"/>
      <c r="O17" s="411"/>
      <c r="P17" s="423"/>
      <c r="Q17" s="411"/>
      <c r="R17" s="411"/>
      <c r="S17" s="411"/>
      <c r="T17" s="423"/>
      <c r="U17" s="411"/>
      <c r="V17" s="411"/>
      <c r="W17" s="411"/>
      <c r="X17" s="423"/>
      <c r="Y17" s="411"/>
      <c r="Z17" s="411"/>
      <c r="AA17" s="411"/>
      <c r="AB17" s="411"/>
      <c r="AC17" s="423"/>
      <c r="AD17" s="411"/>
      <c r="AE17" s="423"/>
      <c r="AF17" s="423"/>
      <c r="AG17" s="423"/>
      <c r="AH17" s="423"/>
      <c r="AI17" s="423"/>
      <c r="AJ17" s="423"/>
      <c r="AK17" s="423"/>
      <c r="AL17" s="423"/>
      <c r="AM17" s="423"/>
      <c r="AN17" s="423"/>
      <c r="AO17" s="423"/>
      <c r="AP17" s="423"/>
      <c r="AQ17" s="423"/>
      <c r="AR17" s="423"/>
      <c r="AS17" s="411"/>
      <c r="AT17" s="411"/>
      <c r="AU17" s="423"/>
      <c r="AV17" s="411"/>
      <c r="AW17" s="411"/>
      <c r="AX17" s="411"/>
      <c r="AY17" s="423"/>
      <c r="AZ17" s="411"/>
      <c r="BA17" s="411"/>
      <c r="BB17" s="411"/>
      <c r="BC17" s="423"/>
      <c r="BD17" s="411"/>
      <c r="BE17" s="411"/>
      <c r="BF17" s="411"/>
      <c r="BG17" s="411"/>
      <c r="BH17" s="423"/>
      <c r="BI17" s="411"/>
      <c r="BJ17" s="423"/>
      <c r="BK17" s="424"/>
      <c r="BL17" s="179"/>
      <c r="BM17" s="179"/>
      <c r="BN17" s="179"/>
      <c r="BO17" s="180"/>
      <c r="BP17" s="180"/>
      <c r="BQ17" s="181"/>
    </row>
    <row r="18" spans="1:69" ht="21" customHeight="1" thickBot="1" x14ac:dyDescent="0.5">
      <c r="A18" s="170" t="s">
        <v>729</v>
      </c>
      <c r="B18" s="171" t="s">
        <v>718</v>
      </c>
      <c r="C18" s="171" t="s">
        <v>718</v>
      </c>
      <c r="D18" s="171" t="s">
        <v>718</v>
      </c>
      <c r="E18" s="171" t="s">
        <v>718</v>
      </c>
      <c r="F18" s="171" t="s">
        <v>26</v>
      </c>
      <c r="G18" s="171" t="s">
        <v>26</v>
      </c>
      <c r="H18" s="171" t="s">
        <v>26</v>
      </c>
      <c r="I18" s="171" t="s">
        <v>26</v>
      </c>
      <c r="J18" s="171" t="s">
        <v>26</v>
      </c>
      <c r="K18" s="171" t="s">
        <v>26</v>
      </c>
      <c r="L18" s="171" t="s">
        <v>718</v>
      </c>
      <c r="M18" s="171" t="s">
        <v>719</v>
      </c>
      <c r="N18" s="172"/>
      <c r="O18" s="172"/>
      <c r="P18" s="171"/>
      <c r="Q18" s="172"/>
      <c r="R18" s="172"/>
      <c r="S18" s="172"/>
      <c r="T18" s="171"/>
      <c r="U18" s="172"/>
      <c r="V18" s="172"/>
      <c r="W18" s="172"/>
      <c r="X18" s="171"/>
      <c r="Y18" s="172"/>
      <c r="Z18" s="172"/>
      <c r="AA18" s="172"/>
      <c r="AB18" s="172"/>
      <c r="AC18" s="171"/>
      <c r="AD18" s="172"/>
      <c r="AE18" s="171"/>
      <c r="AF18" s="171">
        <v>2.37</v>
      </c>
      <c r="AG18" s="171" t="s">
        <v>718</v>
      </c>
      <c r="AH18" s="171" t="s">
        <v>718</v>
      </c>
      <c r="AI18" s="171" t="s">
        <v>718</v>
      </c>
      <c r="AJ18" s="171" t="s">
        <v>718</v>
      </c>
      <c r="AK18" s="171" t="s">
        <v>26</v>
      </c>
      <c r="AL18" s="171" t="s">
        <v>26</v>
      </c>
      <c r="AM18" s="171" t="s">
        <v>26</v>
      </c>
      <c r="AN18" s="171" t="s">
        <v>26</v>
      </c>
      <c r="AO18" s="171" t="s">
        <v>26</v>
      </c>
      <c r="AP18" s="171" t="s">
        <v>26</v>
      </c>
      <c r="AQ18" s="171" t="s">
        <v>718</v>
      </c>
      <c r="AR18" s="143" t="s">
        <v>719</v>
      </c>
      <c r="AS18" s="172"/>
      <c r="AT18" s="172"/>
      <c r="AU18" s="174"/>
      <c r="AV18" s="172"/>
      <c r="AW18" s="172"/>
      <c r="AX18" s="172"/>
      <c r="AY18" s="174"/>
      <c r="AZ18" s="172"/>
      <c r="BA18" s="172"/>
      <c r="BB18" s="172"/>
      <c r="BC18" s="174"/>
      <c r="BD18" s="172"/>
      <c r="BE18" s="172"/>
      <c r="BF18" s="172"/>
      <c r="BG18" s="172"/>
      <c r="BH18" s="174"/>
      <c r="BI18" s="172"/>
      <c r="BJ18" s="174"/>
      <c r="BK18" s="417">
        <v>3.45</v>
      </c>
      <c r="BL18" s="406" t="s">
        <v>843</v>
      </c>
      <c r="BM18" s="166" t="b">
        <f t="shared" ref="BM18:BM22" si="4">IF(BL18="","",IF(BL18="เพิ่มขึ้น",1,IF(BL18="ลดลง",0)))</f>
        <v>0</v>
      </c>
      <c r="BN18" s="166" t="b">
        <f t="shared" ref="BN18:BN22" si="5">IF(BL18="","",IF(BL18="เพิ่มขึ้น",0,IF(BL18="ลดลง",1)))</f>
        <v>0</v>
      </c>
      <c r="BO18" s="167">
        <f t="shared" si="3"/>
        <v>21.6</v>
      </c>
      <c r="BP18" s="168">
        <v>21765</v>
      </c>
      <c r="BQ18" s="169"/>
    </row>
    <row r="19" spans="1:69" ht="22.5" customHeight="1" thickBot="1" x14ac:dyDescent="0.5">
      <c r="A19" s="170" t="s">
        <v>730</v>
      </c>
      <c r="B19" s="171" t="s">
        <v>718</v>
      </c>
      <c r="C19" s="171" t="s">
        <v>718</v>
      </c>
      <c r="D19" s="171" t="s">
        <v>718</v>
      </c>
      <c r="E19" s="171" t="s">
        <v>718</v>
      </c>
      <c r="F19" s="171" t="s">
        <v>718</v>
      </c>
      <c r="G19" s="171" t="s">
        <v>718</v>
      </c>
      <c r="H19" s="171" t="s">
        <v>718</v>
      </c>
      <c r="I19" s="171" t="s">
        <v>718</v>
      </c>
      <c r="J19" s="171" t="s">
        <v>718</v>
      </c>
      <c r="K19" s="171" t="s">
        <v>718</v>
      </c>
      <c r="L19" s="171" t="s">
        <v>718</v>
      </c>
      <c r="M19" s="171" t="s">
        <v>719</v>
      </c>
      <c r="N19" s="172"/>
      <c r="O19" s="172"/>
      <c r="P19" s="171"/>
      <c r="Q19" s="172"/>
      <c r="R19" s="172"/>
      <c r="S19" s="172"/>
      <c r="T19" s="171"/>
      <c r="U19" s="172"/>
      <c r="V19" s="172"/>
      <c r="W19" s="172"/>
      <c r="X19" s="171"/>
      <c r="Y19" s="172"/>
      <c r="Z19" s="172"/>
      <c r="AA19" s="172"/>
      <c r="AB19" s="172"/>
      <c r="AC19" s="171"/>
      <c r="AD19" s="172"/>
      <c r="AE19" s="171"/>
      <c r="AF19" s="171">
        <v>2.69</v>
      </c>
      <c r="AG19" s="171" t="s">
        <v>718</v>
      </c>
      <c r="AH19" s="171" t="s">
        <v>718</v>
      </c>
      <c r="AI19" s="171" t="s">
        <v>718</v>
      </c>
      <c r="AJ19" s="171" t="s">
        <v>718</v>
      </c>
      <c r="AK19" s="171" t="s">
        <v>718</v>
      </c>
      <c r="AL19" s="171" t="s">
        <v>718</v>
      </c>
      <c r="AM19" s="171" t="s">
        <v>718</v>
      </c>
      <c r="AN19" s="171" t="s">
        <v>718</v>
      </c>
      <c r="AO19" s="171" t="s">
        <v>718</v>
      </c>
      <c r="AP19" s="171" t="s">
        <v>718</v>
      </c>
      <c r="AQ19" s="171" t="s">
        <v>718</v>
      </c>
      <c r="AR19" s="143" t="s">
        <v>719</v>
      </c>
      <c r="AS19" s="172"/>
      <c r="AT19" s="172"/>
      <c r="AU19" s="174"/>
      <c r="AV19" s="172"/>
      <c r="AW19" s="172"/>
      <c r="AX19" s="172"/>
      <c r="AY19" s="174"/>
      <c r="AZ19" s="172"/>
      <c r="BA19" s="172"/>
      <c r="BB19" s="172"/>
      <c r="BC19" s="174"/>
      <c r="BD19" s="172"/>
      <c r="BE19" s="172"/>
      <c r="BF19" s="172"/>
      <c r="BG19" s="172"/>
      <c r="BH19" s="174"/>
      <c r="BI19" s="172"/>
      <c r="BJ19" s="174"/>
      <c r="BK19" s="417">
        <v>3.27</v>
      </c>
      <c r="BL19" s="407" t="s">
        <v>843</v>
      </c>
      <c r="BM19" s="143" t="b">
        <f t="shared" si="4"/>
        <v>0</v>
      </c>
      <c r="BN19" s="143" t="b">
        <f t="shared" si="5"/>
        <v>0</v>
      </c>
      <c r="BO19" s="175">
        <f t="shared" si="3"/>
        <v>11.600000000000001</v>
      </c>
      <c r="BP19" s="168">
        <v>21763</v>
      </c>
      <c r="BQ19" s="169"/>
    </row>
    <row r="20" spans="1:69" ht="22.5" customHeight="1" thickBot="1" x14ac:dyDescent="0.5">
      <c r="A20" s="170" t="s">
        <v>731</v>
      </c>
      <c r="B20" s="171" t="s">
        <v>718</v>
      </c>
      <c r="C20" s="171" t="s">
        <v>718</v>
      </c>
      <c r="D20" s="171" t="s">
        <v>718</v>
      </c>
      <c r="E20" s="171" t="s">
        <v>718</v>
      </c>
      <c r="F20" s="171" t="s">
        <v>718</v>
      </c>
      <c r="G20" s="171" t="s">
        <v>718</v>
      </c>
      <c r="H20" s="171" t="s">
        <v>718</v>
      </c>
      <c r="I20" s="171" t="s">
        <v>718</v>
      </c>
      <c r="J20" s="171" t="s">
        <v>718</v>
      </c>
      <c r="K20" s="171" t="s">
        <v>718</v>
      </c>
      <c r="L20" s="171" t="s">
        <v>718</v>
      </c>
      <c r="M20" s="171" t="s">
        <v>719</v>
      </c>
      <c r="N20" s="172"/>
      <c r="O20" s="172"/>
      <c r="P20" s="171"/>
      <c r="Q20" s="172"/>
      <c r="R20" s="172"/>
      <c r="S20" s="172"/>
      <c r="T20" s="171"/>
      <c r="U20" s="172"/>
      <c r="V20" s="172"/>
      <c r="W20" s="172"/>
      <c r="X20" s="171"/>
      <c r="Y20" s="172"/>
      <c r="Z20" s="172"/>
      <c r="AA20" s="172"/>
      <c r="AB20" s="172"/>
      <c r="AC20" s="171"/>
      <c r="AD20" s="172"/>
      <c r="AE20" s="171"/>
      <c r="AF20" s="171">
        <v>2.58</v>
      </c>
      <c r="AG20" s="171" t="s">
        <v>718</v>
      </c>
      <c r="AH20" s="171" t="s">
        <v>718</v>
      </c>
      <c r="AI20" s="171" t="s">
        <v>718</v>
      </c>
      <c r="AJ20" s="171" t="s">
        <v>718</v>
      </c>
      <c r="AK20" s="171" t="s">
        <v>718</v>
      </c>
      <c r="AL20" s="171" t="s">
        <v>718</v>
      </c>
      <c r="AM20" s="171" t="s">
        <v>718</v>
      </c>
      <c r="AN20" s="171" t="s">
        <v>718</v>
      </c>
      <c r="AO20" s="171" t="s">
        <v>718</v>
      </c>
      <c r="AP20" s="171" t="s">
        <v>718</v>
      </c>
      <c r="AQ20" s="171" t="s">
        <v>718</v>
      </c>
      <c r="AR20" s="143" t="s">
        <v>719</v>
      </c>
      <c r="AS20" s="172"/>
      <c r="AT20" s="172"/>
      <c r="AU20" s="174"/>
      <c r="AV20" s="172"/>
      <c r="AW20" s="172"/>
      <c r="AX20" s="172"/>
      <c r="AY20" s="174"/>
      <c r="AZ20" s="172"/>
      <c r="BA20" s="172"/>
      <c r="BB20" s="172"/>
      <c r="BC20" s="174"/>
      <c r="BD20" s="172"/>
      <c r="BE20" s="172"/>
      <c r="BF20" s="172"/>
      <c r="BG20" s="172"/>
      <c r="BH20" s="174"/>
      <c r="BI20" s="172"/>
      <c r="BJ20" s="174"/>
      <c r="BK20" s="417">
        <v>3.84</v>
      </c>
      <c r="BL20" s="407" t="s">
        <v>843</v>
      </c>
      <c r="BM20" s="143" t="b">
        <f t="shared" si="4"/>
        <v>0</v>
      </c>
      <c r="BN20" s="143" t="b">
        <f t="shared" si="5"/>
        <v>0</v>
      </c>
      <c r="BO20" s="175">
        <f t="shared" si="3"/>
        <v>25.199999999999996</v>
      </c>
      <c r="BP20" s="168">
        <v>21767</v>
      </c>
      <c r="BQ20" s="169"/>
    </row>
    <row r="21" spans="1:69" ht="21.75" customHeight="1" thickBot="1" x14ac:dyDescent="0.5">
      <c r="A21" s="170" t="s">
        <v>732</v>
      </c>
      <c r="B21" s="171" t="s">
        <v>718</v>
      </c>
      <c r="C21" s="171" t="s">
        <v>718</v>
      </c>
      <c r="D21" s="171" t="s">
        <v>718</v>
      </c>
      <c r="E21" s="171" t="s">
        <v>718</v>
      </c>
      <c r="F21" s="171" t="s">
        <v>718</v>
      </c>
      <c r="G21" s="171" t="s">
        <v>718</v>
      </c>
      <c r="H21" s="171" t="s">
        <v>718</v>
      </c>
      <c r="I21" s="171" t="s">
        <v>718</v>
      </c>
      <c r="J21" s="171" t="s">
        <v>718</v>
      </c>
      <c r="K21" s="171" t="s">
        <v>718</v>
      </c>
      <c r="L21" s="171" t="s">
        <v>718</v>
      </c>
      <c r="M21" s="171" t="s">
        <v>719</v>
      </c>
      <c r="N21" s="172"/>
      <c r="O21" s="172"/>
      <c r="P21" s="171"/>
      <c r="Q21" s="172"/>
      <c r="R21" s="172"/>
      <c r="S21" s="172"/>
      <c r="T21" s="171"/>
      <c r="U21" s="172"/>
      <c r="V21" s="172"/>
      <c r="W21" s="172"/>
      <c r="X21" s="171"/>
      <c r="Y21" s="172"/>
      <c r="Z21" s="172"/>
      <c r="AA21" s="172"/>
      <c r="AB21" s="172"/>
      <c r="AC21" s="171"/>
      <c r="AD21" s="172"/>
      <c r="AE21" s="171"/>
      <c r="AF21" s="171">
        <v>2.52</v>
      </c>
      <c r="AG21" s="171" t="s">
        <v>718</v>
      </c>
      <c r="AH21" s="171" t="s">
        <v>718</v>
      </c>
      <c r="AI21" s="171" t="s">
        <v>718</v>
      </c>
      <c r="AJ21" s="171" t="s">
        <v>718</v>
      </c>
      <c r="AK21" s="171" t="s">
        <v>718</v>
      </c>
      <c r="AL21" s="171" t="s">
        <v>718</v>
      </c>
      <c r="AM21" s="171" t="s">
        <v>718</v>
      </c>
      <c r="AN21" s="171" t="s">
        <v>718</v>
      </c>
      <c r="AO21" s="171" t="s">
        <v>718</v>
      </c>
      <c r="AP21" s="171" t="s">
        <v>718</v>
      </c>
      <c r="AQ21" s="171" t="s">
        <v>718</v>
      </c>
      <c r="AR21" s="143" t="s">
        <v>719</v>
      </c>
      <c r="AS21" s="172"/>
      <c r="AT21" s="172"/>
      <c r="AU21" s="174"/>
      <c r="AV21" s="172"/>
      <c r="AW21" s="172"/>
      <c r="AX21" s="172"/>
      <c r="AY21" s="174"/>
      <c r="AZ21" s="172"/>
      <c r="BA21" s="172"/>
      <c r="BB21" s="172"/>
      <c r="BC21" s="174"/>
      <c r="BD21" s="172"/>
      <c r="BE21" s="172"/>
      <c r="BF21" s="172"/>
      <c r="BG21" s="172"/>
      <c r="BH21" s="174"/>
      <c r="BI21" s="172"/>
      <c r="BJ21" s="174"/>
      <c r="BK21" s="417">
        <v>3.49</v>
      </c>
      <c r="BL21" s="407" t="s">
        <v>843</v>
      </c>
      <c r="BM21" s="143" t="b">
        <f t="shared" si="4"/>
        <v>0</v>
      </c>
      <c r="BN21" s="143" t="b">
        <f t="shared" si="5"/>
        <v>0</v>
      </c>
      <c r="BO21" s="175">
        <f t="shared" si="3"/>
        <v>19.400000000000002</v>
      </c>
      <c r="BP21" s="168">
        <v>21763</v>
      </c>
      <c r="BQ21" s="169"/>
    </row>
    <row r="22" spans="1:69" ht="22.5" customHeight="1" thickBot="1" x14ac:dyDescent="0.5">
      <c r="A22" s="170" t="s">
        <v>733</v>
      </c>
      <c r="B22" s="171" t="s">
        <v>718</v>
      </c>
      <c r="C22" s="171" t="s">
        <v>718</v>
      </c>
      <c r="D22" s="171" t="s">
        <v>718</v>
      </c>
      <c r="E22" s="171" t="s">
        <v>718</v>
      </c>
      <c r="F22" s="171" t="s">
        <v>718</v>
      </c>
      <c r="G22" s="171" t="s">
        <v>718</v>
      </c>
      <c r="H22" s="171" t="s">
        <v>718</v>
      </c>
      <c r="I22" s="171" t="s">
        <v>718</v>
      </c>
      <c r="J22" s="171" t="s">
        <v>718</v>
      </c>
      <c r="K22" s="171" t="s">
        <v>718</v>
      </c>
      <c r="L22" s="171" t="s">
        <v>718</v>
      </c>
      <c r="M22" s="171" t="s">
        <v>719</v>
      </c>
      <c r="N22" s="172"/>
      <c r="O22" s="172"/>
      <c r="P22" s="171"/>
      <c r="Q22" s="172"/>
      <c r="R22" s="172"/>
      <c r="S22" s="172"/>
      <c r="T22" s="171"/>
      <c r="U22" s="172"/>
      <c r="V22" s="172"/>
      <c r="W22" s="172"/>
      <c r="X22" s="171"/>
      <c r="Y22" s="172"/>
      <c r="Z22" s="172"/>
      <c r="AA22" s="172"/>
      <c r="AB22" s="172"/>
      <c r="AC22" s="171"/>
      <c r="AD22" s="172"/>
      <c r="AE22" s="171"/>
      <c r="AF22" s="171">
        <v>2.78</v>
      </c>
      <c r="AG22" s="171" t="s">
        <v>718</v>
      </c>
      <c r="AH22" s="171" t="s">
        <v>718</v>
      </c>
      <c r="AI22" s="171" t="s">
        <v>718</v>
      </c>
      <c r="AJ22" s="171" t="s">
        <v>718</v>
      </c>
      <c r="AK22" s="171" t="s">
        <v>718</v>
      </c>
      <c r="AL22" s="171" t="s">
        <v>718</v>
      </c>
      <c r="AM22" s="171" t="s">
        <v>718</v>
      </c>
      <c r="AN22" s="171" t="s">
        <v>718</v>
      </c>
      <c r="AO22" s="171" t="s">
        <v>718</v>
      </c>
      <c r="AP22" s="171" t="s">
        <v>718</v>
      </c>
      <c r="AQ22" s="171" t="s">
        <v>718</v>
      </c>
      <c r="AR22" s="143" t="s">
        <v>719</v>
      </c>
      <c r="AS22" s="172"/>
      <c r="AT22" s="172"/>
      <c r="AU22" s="174"/>
      <c r="AV22" s="172"/>
      <c r="AW22" s="172"/>
      <c r="AX22" s="172"/>
      <c r="AY22" s="174"/>
      <c r="AZ22" s="172"/>
      <c r="BA22" s="172"/>
      <c r="BB22" s="172"/>
      <c r="BC22" s="174"/>
      <c r="BD22" s="172"/>
      <c r="BE22" s="172"/>
      <c r="BF22" s="172"/>
      <c r="BG22" s="172"/>
      <c r="BH22" s="174"/>
      <c r="BI22" s="172"/>
      <c r="BJ22" s="174"/>
      <c r="BK22" s="417">
        <v>3.78</v>
      </c>
      <c r="BL22" s="407" t="s">
        <v>843</v>
      </c>
      <c r="BM22" s="143" t="b">
        <f t="shared" si="4"/>
        <v>0</v>
      </c>
      <c r="BN22" s="143" t="b">
        <f t="shared" si="5"/>
        <v>0</v>
      </c>
      <c r="BO22" s="175">
        <f>SUM(BK22-AF22)/5*100</f>
        <v>20</v>
      </c>
      <c r="BP22" s="168">
        <v>21767</v>
      </c>
      <c r="BQ22" s="169"/>
    </row>
    <row r="23" spans="1:69" ht="22.5" customHeight="1" x14ac:dyDescent="0.45">
      <c r="A23" s="502" t="s">
        <v>734</v>
      </c>
      <c r="B23" s="502"/>
      <c r="C23" s="502"/>
      <c r="D23" s="502"/>
      <c r="E23" s="502"/>
      <c r="F23" s="502"/>
      <c r="G23" s="502"/>
      <c r="H23" s="502"/>
      <c r="I23" s="502"/>
      <c r="J23" s="502"/>
      <c r="K23" s="502"/>
      <c r="L23" s="502"/>
      <c r="M23" s="502"/>
      <c r="N23" s="196"/>
      <c r="O23" s="196"/>
      <c r="P23" s="401"/>
      <c r="Q23" s="196"/>
      <c r="R23" s="196"/>
      <c r="S23" s="196"/>
      <c r="T23" s="401"/>
      <c r="U23" s="196"/>
      <c r="V23" s="196"/>
      <c r="W23" s="196"/>
      <c r="X23" s="401"/>
      <c r="Y23" s="196"/>
      <c r="Z23" s="196"/>
      <c r="AA23" s="196"/>
      <c r="AB23" s="196"/>
      <c r="AC23" s="401"/>
      <c r="AD23" s="196"/>
      <c r="AE23" s="401"/>
      <c r="AF23" s="428">
        <f>SUM(AF8:AF16,AF18:AF22)/14</f>
        <v>2.2535714285714286</v>
      </c>
      <c r="AG23" s="428"/>
      <c r="AH23" s="428"/>
      <c r="AI23" s="428"/>
      <c r="AJ23" s="428"/>
      <c r="AK23" s="428"/>
      <c r="AL23" s="428"/>
      <c r="AM23" s="428"/>
      <c r="AN23" s="428"/>
      <c r="AO23" s="428"/>
      <c r="AP23" s="428"/>
      <c r="AQ23" s="428"/>
      <c r="AR23" s="197"/>
      <c r="AS23" s="196"/>
      <c r="AT23" s="196"/>
      <c r="AU23" s="401"/>
      <c r="AV23" s="196"/>
      <c r="AW23" s="196"/>
      <c r="AX23" s="196"/>
      <c r="AY23" s="401"/>
      <c r="AZ23" s="196"/>
      <c r="BA23" s="196"/>
      <c r="BB23" s="196"/>
      <c r="BC23" s="401"/>
      <c r="BD23" s="196"/>
      <c r="BE23" s="196"/>
      <c r="BF23" s="196"/>
      <c r="BG23" s="196"/>
      <c r="BH23" s="401"/>
      <c r="BI23" s="196"/>
      <c r="BJ23" s="401"/>
      <c r="BK23" s="197">
        <f>SUM(BK8:BK16,BK18:BK22)/14</f>
        <v>3.503571428571429</v>
      </c>
      <c r="BL23" s="241" t="str">
        <f t="shared" ref="BL23" si="6">IF(AF23="ไม่ประเมิน","คงที่",IF(AF23&lt;BK23,"เพิ่มขึ้น",IF(AF23&gt;BK23,"ลดลง",IF(AF23=BK23,"คงที่",""))))</f>
        <v>เพิ่มขึ้น</v>
      </c>
      <c r="BM23" s="183"/>
      <c r="BN23" s="183"/>
      <c r="BO23" s="182"/>
      <c r="BP23" s="184"/>
      <c r="BQ23" s="161"/>
    </row>
    <row r="24" spans="1:69" ht="22.5" x14ac:dyDescent="0.45">
      <c r="A24" s="429" t="s">
        <v>735</v>
      </c>
      <c r="B24" s="430"/>
      <c r="C24" s="430"/>
      <c r="D24" s="430"/>
      <c r="E24" s="430"/>
      <c r="F24" s="430"/>
      <c r="G24" s="430"/>
      <c r="H24" s="430"/>
      <c r="I24" s="430"/>
      <c r="J24" s="430"/>
      <c r="K24" s="430"/>
      <c r="L24" s="430"/>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0"/>
      <c r="BL24" s="160"/>
      <c r="BM24" s="160"/>
      <c r="BN24" s="160"/>
      <c r="BO24" s="186"/>
      <c r="BP24" s="186"/>
      <c r="BQ24" s="161"/>
    </row>
    <row r="25" spans="1:69" ht="22.5" x14ac:dyDescent="0.45">
      <c r="A25" s="432" t="s">
        <v>716</v>
      </c>
      <c r="B25" s="402"/>
      <c r="C25" s="402"/>
      <c r="D25" s="402"/>
      <c r="E25" s="402"/>
      <c r="F25" s="402"/>
      <c r="G25" s="402"/>
      <c r="H25" s="402"/>
      <c r="I25" s="402"/>
      <c r="J25" s="402"/>
      <c r="K25" s="402"/>
      <c r="L25" s="402"/>
      <c r="M25" s="402"/>
      <c r="N25" s="196"/>
      <c r="O25" s="196"/>
      <c r="P25" s="402"/>
      <c r="Q25" s="196"/>
      <c r="R25" s="196"/>
      <c r="S25" s="196"/>
      <c r="T25" s="402"/>
      <c r="U25" s="196"/>
      <c r="V25" s="196"/>
      <c r="W25" s="196"/>
      <c r="X25" s="402"/>
      <c r="Y25" s="196"/>
      <c r="Z25" s="196"/>
      <c r="AA25" s="196"/>
      <c r="AB25" s="196"/>
      <c r="AC25" s="402"/>
      <c r="AD25" s="196"/>
      <c r="AE25" s="402"/>
      <c r="AF25" s="402"/>
      <c r="AG25" s="402"/>
      <c r="AH25" s="402"/>
      <c r="AI25" s="402"/>
      <c r="AJ25" s="402"/>
      <c r="AK25" s="402"/>
      <c r="AL25" s="402"/>
      <c r="AM25" s="402"/>
      <c r="AN25" s="402"/>
      <c r="AO25" s="402"/>
      <c r="AP25" s="402"/>
      <c r="AQ25" s="402"/>
      <c r="AR25" s="402"/>
      <c r="AS25" s="196"/>
      <c r="AT25" s="196"/>
      <c r="AU25" s="402"/>
      <c r="AV25" s="196"/>
      <c r="AW25" s="196"/>
      <c r="AX25" s="196"/>
      <c r="AY25" s="402"/>
      <c r="AZ25" s="196"/>
      <c r="BA25" s="196"/>
      <c r="BB25" s="196"/>
      <c r="BC25" s="402"/>
      <c r="BD25" s="196"/>
      <c r="BE25" s="196"/>
      <c r="BF25" s="196"/>
      <c r="BG25" s="196"/>
      <c r="BH25" s="402"/>
      <c r="BI25" s="196"/>
      <c r="BJ25" s="402"/>
      <c r="BK25" s="402"/>
      <c r="BL25" s="162"/>
      <c r="BM25" s="162"/>
      <c r="BN25" s="162"/>
      <c r="BO25" s="163"/>
      <c r="BP25" s="163"/>
      <c r="BQ25" s="161"/>
    </row>
    <row r="26" spans="1:69" ht="24" customHeight="1" x14ac:dyDescent="0.45">
      <c r="A26" s="416" t="s">
        <v>736</v>
      </c>
      <c r="B26" s="171" t="s">
        <v>718</v>
      </c>
      <c r="C26" s="171" t="s">
        <v>718</v>
      </c>
      <c r="D26" s="171" t="s">
        <v>26</v>
      </c>
      <c r="E26" s="171" t="s">
        <v>26</v>
      </c>
      <c r="F26" s="171" t="s">
        <v>26</v>
      </c>
      <c r="G26" s="171" t="s">
        <v>26</v>
      </c>
      <c r="H26" s="171" t="s">
        <v>26</v>
      </c>
      <c r="I26" s="171" t="s">
        <v>26</v>
      </c>
      <c r="J26" s="171" t="s">
        <v>26</v>
      </c>
      <c r="K26" s="171" t="s">
        <v>718</v>
      </c>
      <c r="L26" s="171" t="s">
        <v>718</v>
      </c>
      <c r="M26" s="171" t="s">
        <v>719</v>
      </c>
      <c r="N26" s="172"/>
      <c r="O26" s="172"/>
      <c r="P26" s="171"/>
      <c r="Q26" s="172"/>
      <c r="R26" s="172"/>
      <c r="S26" s="172"/>
      <c r="T26" s="171"/>
      <c r="U26" s="172"/>
      <c r="V26" s="172"/>
      <c r="W26" s="172"/>
      <c r="X26" s="171"/>
      <c r="Y26" s="172"/>
      <c r="Z26" s="172"/>
      <c r="AA26" s="172"/>
      <c r="AB26" s="172"/>
      <c r="AC26" s="171"/>
      <c r="AD26" s="172"/>
      <c r="AE26" s="171"/>
      <c r="AF26" s="173">
        <v>2.98</v>
      </c>
      <c r="AG26" s="171" t="s">
        <v>718</v>
      </c>
      <c r="AH26" s="171" t="s">
        <v>718</v>
      </c>
      <c r="AI26" s="171" t="s">
        <v>26</v>
      </c>
      <c r="AJ26" s="171" t="s">
        <v>26</v>
      </c>
      <c r="AK26" s="171" t="s">
        <v>26</v>
      </c>
      <c r="AL26" s="171" t="s">
        <v>26</v>
      </c>
      <c r="AM26" s="171" t="s">
        <v>26</v>
      </c>
      <c r="AN26" s="171" t="s">
        <v>26</v>
      </c>
      <c r="AO26" s="171" t="s">
        <v>26</v>
      </c>
      <c r="AP26" s="171" t="s">
        <v>718</v>
      </c>
      <c r="AQ26" s="171" t="s">
        <v>718</v>
      </c>
      <c r="AR26" s="143" t="s">
        <v>719</v>
      </c>
      <c r="AS26" s="172"/>
      <c r="AT26" s="172"/>
      <c r="AU26" s="174"/>
      <c r="AV26" s="172"/>
      <c r="AW26" s="172"/>
      <c r="AX26" s="172"/>
      <c r="AY26" s="174"/>
      <c r="AZ26" s="172"/>
      <c r="BA26" s="172"/>
      <c r="BB26" s="172"/>
      <c r="BC26" s="174"/>
      <c r="BD26" s="172"/>
      <c r="BE26" s="172"/>
      <c r="BF26" s="172"/>
      <c r="BG26" s="172"/>
      <c r="BH26" s="174"/>
      <c r="BI26" s="172"/>
      <c r="BJ26" s="174"/>
      <c r="BK26" s="417">
        <v>3.13</v>
      </c>
      <c r="BL26" s="239" t="str">
        <f t="shared" ref="BL26:BL34" si="7">IF(M26="","",IF(AF26&lt;BK26,"เพิ่มขึ้น",IF(AF26&gt;BK26,"ลดลง",IF(AF26=BK26,"คงที่",""))))</f>
        <v>เพิ่มขึ้น</v>
      </c>
      <c r="BM26" s="166">
        <f t="shared" ref="BM26:BM34" si="8">IF(BL26="","",IF(BL26="เพิ่มขึ้น",1,IF(BL26="ลดลง",0)))</f>
        <v>1</v>
      </c>
      <c r="BN26" s="166">
        <f t="shared" ref="BN26:BN34" si="9">IF(BL26="","",IF(BL26="เพิ่มขึ้น",0,IF(BL26="ลดลง",1)))</f>
        <v>0</v>
      </c>
      <c r="BO26" s="167">
        <f t="shared" ref="BO26:BO34" si="10">SUM(BK26-AF26)/5*100</f>
        <v>2.9999999999999982</v>
      </c>
      <c r="BP26" s="168">
        <v>21764</v>
      </c>
      <c r="BQ26" s="169"/>
    </row>
    <row r="27" spans="1:69" ht="22.5" customHeight="1" x14ac:dyDescent="0.45">
      <c r="A27" s="416" t="s">
        <v>737</v>
      </c>
      <c r="B27" s="171" t="s">
        <v>718</v>
      </c>
      <c r="C27" s="171" t="s">
        <v>718</v>
      </c>
      <c r="D27" s="171" t="s">
        <v>26</v>
      </c>
      <c r="E27" s="171" t="s">
        <v>26</v>
      </c>
      <c r="F27" s="171" t="s">
        <v>26</v>
      </c>
      <c r="G27" s="171" t="s">
        <v>26</v>
      </c>
      <c r="H27" s="171" t="s">
        <v>26</v>
      </c>
      <c r="I27" s="171" t="s">
        <v>26</v>
      </c>
      <c r="J27" s="171" t="s">
        <v>26</v>
      </c>
      <c r="K27" s="171" t="s">
        <v>718</v>
      </c>
      <c r="L27" s="171" t="s">
        <v>718</v>
      </c>
      <c r="M27" s="171" t="s">
        <v>719</v>
      </c>
      <c r="N27" s="172"/>
      <c r="O27" s="172"/>
      <c r="P27" s="171"/>
      <c r="Q27" s="172"/>
      <c r="R27" s="172"/>
      <c r="S27" s="172"/>
      <c r="T27" s="171"/>
      <c r="U27" s="172"/>
      <c r="V27" s="172"/>
      <c r="W27" s="172"/>
      <c r="X27" s="171"/>
      <c r="Y27" s="172"/>
      <c r="Z27" s="172"/>
      <c r="AA27" s="172"/>
      <c r="AB27" s="172"/>
      <c r="AC27" s="171"/>
      <c r="AD27" s="172"/>
      <c r="AE27" s="171"/>
      <c r="AF27" s="171">
        <v>2.84</v>
      </c>
      <c r="AG27" s="171" t="s">
        <v>718</v>
      </c>
      <c r="AH27" s="171" t="s">
        <v>718</v>
      </c>
      <c r="AI27" s="171" t="s">
        <v>26</v>
      </c>
      <c r="AJ27" s="171" t="s">
        <v>26</v>
      </c>
      <c r="AK27" s="171" t="s">
        <v>26</v>
      </c>
      <c r="AL27" s="171" t="s">
        <v>26</v>
      </c>
      <c r="AM27" s="171" t="s">
        <v>26</v>
      </c>
      <c r="AN27" s="171" t="s">
        <v>26</v>
      </c>
      <c r="AO27" s="171" t="s">
        <v>26</v>
      </c>
      <c r="AP27" s="171" t="s">
        <v>718</v>
      </c>
      <c r="AQ27" s="171" t="s">
        <v>718</v>
      </c>
      <c r="AR27" s="143" t="s">
        <v>719</v>
      </c>
      <c r="AS27" s="172"/>
      <c r="AT27" s="172"/>
      <c r="AU27" s="174"/>
      <c r="AV27" s="172"/>
      <c r="AW27" s="172"/>
      <c r="AX27" s="172"/>
      <c r="AY27" s="174"/>
      <c r="AZ27" s="172"/>
      <c r="BA27" s="172"/>
      <c r="BB27" s="172"/>
      <c r="BC27" s="174"/>
      <c r="BD27" s="172"/>
      <c r="BE27" s="172"/>
      <c r="BF27" s="172"/>
      <c r="BG27" s="172"/>
      <c r="BH27" s="174"/>
      <c r="BI27" s="172"/>
      <c r="BJ27" s="174"/>
      <c r="BK27" s="417">
        <v>3.56</v>
      </c>
      <c r="BL27" s="147" t="str">
        <f t="shared" si="7"/>
        <v>เพิ่มขึ้น</v>
      </c>
      <c r="BM27" s="143">
        <f t="shared" si="8"/>
        <v>1</v>
      </c>
      <c r="BN27" s="143">
        <f t="shared" si="9"/>
        <v>0</v>
      </c>
      <c r="BO27" s="175">
        <f t="shared" si="10"/>
        <v>14.400000000000004</v>
      </c>
      <c r="BP27" s="168">
        <v>21765</v>
      </c>
      <c r="BQ27" s="169"/>
    </row>
    <row r="28" spans="1:69" ht="22.5" customHeight="1" x14ac:dyDescent="0.45">
      <c r="A28" s="416" t="s">
        <v>738</v>
      </c>
      <c r="B28" s="171" t="s">
        <v>718</v>
      </c>
      <c r="C28" s="171" t="s">
        <v>718</v>
      </c>
      <c r="D28" s="171" t="s">
        <v>26</v>
      </c>
      <c r="E28" s="171" t="s">
        <v>26</v>
      </c>
      <c r="F28" s="171" t="s">
        <v>26</v>
      </c>
      <c r="G28" s="171" t="s">
        <v>26</v>
      </c>
      <c r="H28" s="171" t="s">
        <v>26</v>
      </c>
      <c r="I28" s="171" t="s">
        <v>26</v>
      </c>
      <c r="J28" s="171" t="s">
        <v>26</v>
      </c>
      <c r="K28" s="171" t="s">
        <v>718</v>
      </c>
      <c r="L28" s="171" t="s">
        <v>718</v>
      </c>
      <c r="M28" s="171" t="s">
        <v>719</v>
      </c>
      <c r="N28" s="172"/>
      <c r="O28" s="172"/>
      <c r="P28" s="171"/>
      <c r="Q28" s="172"/>
      <c r="R28" s="172"/>
      <c r="S28" s="172"/>
      <c r="T28" s="171"/>
      <c r="U28" s="172"/>
      <c r="V28" s="172"/>
      <c r="W28" s="172"/>
      <c r="X28" s="171"/>
      <c r="Y28" s="172"/>
      <c r="Z28" s="172"/>
      <c r="AA28" s="172"/>
      <c r="AB28" s="172"/>
      <c r="AC28" s="171"/>
      <c r="AD28" s="172"/>
      <c r="AE28" s="171"/>
      <c r="AF28" s="171">
        <v>2.92</v>
      </c>
      <c r="AG28" s="171" t="s">
        <v>718</v>
      </c>
      <c r="AH28" s="171" t="s">
        <v>718</v>
      </c>
      <c r="AI28" s="171" t="s">
        <v>26</v>
      </c>
      <c r="AJ28" s="171" t="s">
        <v>26</v>
      </c>
      <c r="AK28" s="171" t="s">
        <v>26</v>
      </c>
      <c r="AL28" s="171" t="s">
        <v>26</v>
      </c>
      <c r="AM28" s="171" t="s">
        <v>26</v>
      </c>
      <c r="AN28" s="171" t="s">
        <v>26</v>
      </c>
      <c r="AO28" s="171" t="s">
        <v>26</v>
      </c>
      <c r="AP28" s="171" t="s">
        <v>718</v>
      </c>
      <c r="AQ28" s="171" t="s">
        <v>718</v>
      </c>
      <c r="AR28" s="143" t="s">
        <v>719</v>
      </c>
      <c r="AS28" s="172"/>
      <c r="AT28" s="172"/>
      <c r="AU28" s="174"/>
      <c r="AV28" s="172"/>
      <c r="AW28" s="172"/>
      <c r="AX28" s="172"/>
      <c r="AY28" s="174"/>
      <c r="AZ28" s="172"/>
      <c r="BA28" s="172"/>
      <c r="BB28" s="172"/>
      <c r="BC28" s="174"/>
      <c r="BD28" s="172"/>
      <c r="BE28" s="172"/>
      <c r="BF28" s="172"/>
      <c r="BG28" s="172"/>
      <c r="BH28" s="174"/>
      <c r="BI28" s="172"/>
      <c r="BJ28" s="174"/>
      <c r="BK28" s="417">
        <v>3.48</v>
      </c>
      <c r="BL28" s="147" t="str">
        <f t="shared" si="7"/>
        <v>เพิ่มขึ้น</v>
      </c>
      <c r="BM28" s="143">
        <f t="shared" si="8"/>
        <v>1</v>
      </c>
      <c r="BN28" s="143">
        <f t="shared" si="9"/>
        <v>0</v>
      </c>
      <c r="BO28" s="175">
        <f t="shared" si="10"/>
        <v>11.200000000000001</v>
      </c>
      <c r="BP28" s="168">
        <v>21764</v>
      </c>
      <c r="BQ28" s="169"/>
    </row>
    <row r="29" spans="1:69" ht="21.75" customHeight="1" x14ac:dyDescent="0.45">
      <c r="A29" s="416" t="s">
        <v>739</v>
      </c>
      <c r="B29" s="171" t="s">
        <v>718</v>
      </c>
      <c r="C29" s="171" t="s">
        <v>718</v>
      </c>
      <c r="D29" s="171" t="s">
        <v>26</v>
      </c>
      <c r="E29" s="171" t="s">
        <v>26</v>
      </c>
      <c r="F29" s="171" t="s">
        <v>26</v>
      </c>
      <c r="G29" s="171" t="s">
        <v>26</v>
      </c>
      <c r="H29" s="171" t="s">
        <v>26</v>
      </c>
      <c r="I29" s="171" t="s">
        <v>26</v>
      </c>
      <c r="J29" s="171" t="s">
        <v>26</v>
      </c>
      <c r="K29" s="171" t="s">
        <v>718</v>
      </c>
      <c r="L29" s="171" t="s">
        <v>718</v>
      </c>
      <c r="M29" s="171" t="s">
        <v>719</v>
      </c>
      <c r="N29" s="172"/>
      <c r="O29" s="172"/>
      <c r="P29" s="171"/>
      <c r="Q29" s="172"/>
      <c r="R29" s="172"/>
      <c r="S29" s="172"/>
      <c r="T29" s="171"/>
      <c r="U29" s="172"/>
      <c r="V29" s="172"/>
      <c r="W29" s="172"/>
      <c r="X29" s="171"/>
      <c r="Y29" s="172"/>
      <c r="Z29" s="172"/>
      <c r="AA29" s="172"/>
      <c r="AB29" s="172"/>
      <c r="AC29" s="171"/>
      <c r="AD29" s="172"/>
      <c r="AE29" s="171"/>
      <c r="AF29" s="171">
        <v>2.38</v>
      </c>
      <c r="AG29" s="171" t="s">
        <v>718</v>
      </c>
      <c r="AH29" s="171" t="s">
        <v>718</v>
      </c>
      <c r="AI29" s="171" t="s">
        <v>26</v>
      </c>
      <c r="AJ29" s="171" t="s">
        <v>26</v>
      </c>
      <c r="AK29" s="171" t="s">
        <v>26</v>
      </c>
      <c r="AL29" s="171" t="s">
        <v>26</v>
      </c>
      <c r="AM29" s="171" t="s">
        <v>26</v>
      </c>
      <c r="AN29" s="171" t="s">
        <v>26</v>
      </c>
      <c r="AO29" s="171" t="s">
        <v>26</v>
      </c>
      <c r="AP29" s="171" t="s">
        <v>718</v>
      </c>
      <c r="AQ29" s="171" t="s">
        <v>718</v>
      </c>
      <c r="AR29" s="143" t="s">
        <v>719</v>
      </c>
      <c r="AS29" s="172"/>
      <c r="AT29" s="172"/>
      <c r="AU29" s="174"/>
      <c r="AV29" s="172"/>
      <c r="AW29" s="172"/>
      <c r="AX29" s="172"/>
      <c r="AY29" s="174"/>
      <c r="AZ29" s="172"/>
      <c r="BA29" s="172"/>
      <c r="BB29" s="172"/>
      <c r="BC29" s="174"/>
      <c r="BD29" s="172"/>
      <c r="BE29" s="172"/>
      <c r="BF29" s="172"/>
      <c r="BG29" s="172"/>
      <c r="BH29" s="174"/>
      <c r="BI29" s="172"/>
      <c r="BJ29" s="174"/>
      <c r="BK29" s="417">
        <v>3.37</v>
      </c>
      <c r="BL29" s="147" t="str">
        <f t="shared" si="7"/>
        <v>เพิ่มขึ้น</v>
      </c>
      <c r="BM29" s="143">
        <f t="shared" si="8"/>
        <v>1</v>
      </c>
      <c r="BN29" s="143">
        <f t="shared" si="9"/>
        <v>0</v>
      </c>
      <c r="BO29" s="175">
        <f t="shared" si="10"/>
        <v>19.800000000000004</v>
      </c>
      <c r="BP29" s="168">
        <v>21765</v>
      </c>
      <c r="BQ29" s="169"/>
    </row>
    <row r="30" spans="1:69" ht="22.5" customHeight="1" x14ac:dyDescent="0.45">
      <c r="A30" s="416" t="s">
        <v>740</v>
      </c>
      <c r="B30" s="171" t="s">
        <v>718</v>
      </c>
      <c r="C30" s="171" t="s">
        <v>718</v>
      </c>
      <c r="D30" s="171" t="s">
        <v>26</v>
      </c>
      <c r="E30" s="171" t="s">
        <v>26</v>
      </c>
      <c r="F30" s="171" t="s">
        <v>26</v>
      </c>
      <c r="G30" s="171" t="s">
        <v>26</v>
      </c>
      <c r="H30" s="171" t="s">
        <v>26</v>
      </c>
      <c r="I30" s="171" t="s">
        <v>26</v>
      </c>
      <c r="J30" s="171" t="s">
        <v>26</v>
      </c>
      <c r="K30" s="171" t="s">
        <v>718</v>
      </c>
      <c r="L30" s="171" t="s">
        <v>718</v>
      </c>
      <c r="M30" s="171" t="s">
        <v>719</v>
      </c>
      <c r="N30" s="172"/>
      <c r="O30" s="172"/>
      <c r="P30" s="171"/>
      <c r="Q30" s="172"/>
      <c r="R30" s="172"/>
      <c r="S30" s="172"/>
      <c r="T30" s="171"/>
      <c r="U30" s="172"/>
      <c r="V30" s="172"/>
      <c r="W30" s="172"/>
      <c r="X30" s="171"/>
      <c r="Y30" s="172"/>
      <c r="Z30" s="172"/>
      <c r="AA30" s="172"/>
      <c r="AB30" s="172"/>
      <c r="AC30" s="171"/>
      <c r="AD30" s="172"/>
      <c r="AE30" s="171"/>
      <c r="AF30" s="171">
        <v>2.3199999999999998</v>
      </c>
      <c r="AG30" s="171" t="s">
        <v>718</v>
      </c>
      <c r="AH30" s="171" t="s">
        <v>718</v>
      </c>
      <c r="AI30" s="171" t="s">
        <v>26</v>
      </c>
      <c r="AJ30" s="171" t="s">
        <v>26</v>
      </c>
      <c r="AK30" s="171" t="s">
        <v>26</v>
      </c>
      <c r="AL30" s="171" t="s">
        <v>26</v>
      </c>
      <c r="AM30" s="171" t="s">
        <v>26</v>
      </c>
      <c r="AN30" s="171" t="s">
        <v>26</v>
      </c>
      <c r="AO30" s="171" t="s">
        <v>26</v>
      </c>
      <c r="AP30" s="171" t="s">
        <v>718</v>
      </c>
      <c r="AQ30" s="171" t="s">
        <v>718</v>
      </c>
      <c r="AR30" s="143" t="s">
        <v>719</v>
      </c>
      <c r="AS30" s="172"/>
      <c r="AT30" s="172"/>
      <c r="AU30" s="174"/>
      <c r="AV30" s="172"/>
      <c r="AW30" s="172"/>
      <c r="AX30" s="172"/>
      <c r="AY30" s="174"/>
      <c r="AZ30" s="172"/>
      <c r="BA30" s="172"/>
      <c r="BB30" s="172"/>
      <c r="BC30" s="174"/>
      <c r="BD30" s="172"/>
      <c r="BE30" s="172"/>
      <c r="BF30" s="172"/>
      <c r="BG30" s="172"/>
      <c r="BH30" s="174"/>
      <c r="BI30" s="172"/>
      <c r="BJ30" s="174"/>
      <c r="BK30" s="417">
        <v>3.36</v>
      </c>
      <c r="BL30" s="147" t="str">
        <f t="shared" si="7"/>
        <v>เพิ่มขึ้น</v>
      </c>
      <c r="BM30" s="143">
        <f t="shared" si="8"/>
        <v>1</v>
      </c>
      <c r="BN30" s="143">
        <f t="shared" si="9"/>
        <v>0</v>
      </c>
      <c r="BO30" s="175">
        <f t="shared" si="10"/>
        <v>20.8</v>
      </c>
      <c r="BP30" s="168">
        <v>21764</v>
      </c>
      <c r="BQ30" s="169"/>
    </row>
    <row r="31" spans="1:69" ht="22.5" customHeight="1" x14ac:dyDescent="0.45">
      <c r="A31" s="416" t="s">
        <v>741</v>
      </c>
      <c r="B31" s="171" t="s">
        <v>718</v>
      </c>
      <c r="C31" s="171" t="s">
        <v>718</v>
      </c>
      <c r="D31" s="171" t="s">
        <v>26</v>
      </c>
      <c r="E31" s="171" t="s">
        <v>26</v>
      </c>
      <c r="F31" s="171" t="s">
        <v>26</v>
      </c>
      <c r="G31" s="171" t="s">
        <v>26</v>
      </c>
      <c r="H31" s="171" t="s">
        <v>26</v>
      </c>
      <c r="I31" s="171" t="s">
        <v>26</v>
      </c>
      <c r="J31" s="171" t="s">
        <v>26</v>
      </c>
      <c r="K31" s="171" t="s">
        <v>718</v>
      </c>
      <c r="L31" s="171" t="s">
        <v>718</v>
      </c>
      <c r="M31" s="171" t="s">
        <v>719</v>
      </c>
      <c r="N31" s="172"/>
      <c r="O31" s="172"/>
      <c r="P31" s="171"/>
      <c r="Q31" s="172"/>
      <c r="R31" s="172"/>
      <c r="S31" s="172"/>
      <c r="T31" s="171"/>
      <c r="U31" s="172"/>
      <c r="V31" s="172"/>
      <c r="W31" s="172"/>
      <c r="X31" s="171"/>
      <c r="Y31" s="172"/>
      <c r="Z31" s="172"/>
      <c r="AA31" s="172"/>
      <c r="AB31" s="172"/>
      <c r="AC31" s="171"/>
      <c r="AD31" s="172"/>
      <c r="AE31" s="171"/>
      <c r="AF31" s="171">
        <v>2.84</v>
      </c>
      <c r="AG31" s="171" t="s">
        <v>718</v>
      </c>
      <c r="AH31" s="171" t="s">
        <v>718</v>
      </c>
      <c r="AI31" s="171" t="s">
        <v>26</v>
      </c>
      <c r="AJ31" s="171" t="s">
        <v>26</v>
      </c>
      <c r="AK31" s="171" t="s">
        <v>26</v>
      </c>
      <c r="AL31" s="171" t="s">
        <v>26</v>
      </c>
      <c r="AM31" s="171" t="s">
        <v>26</v>
      </c>
      <c r="AN31" s="171" t="s">
        <v>26</v>
      </c>
      <c r="AO31" s="171" t="s">
        <v>26</v>
      </c>
      <c r="AP31" s="171" t="s">
        <v>718</v>
      </c>
      <c r="AQ31" s="171" t="s">
        <v>718</v>
      </c>
      <c r="AR31" s="143" t="s">
        <v>719</v>
      </c>
      <c r="AS31" s="172"/>
      <c r="AT31" s="172"/>
      <c r="AU31" s="174"/>
      <c r="AV31" s="172"/>
      <c r="AW31" s="172"/>
      <c r="AX31" s="172"/>
      <c r="AY31" s="174"/>
      <c r="AZ31" s="172"/>
      <c r="BA31" s="172"/>
      <c r="BB31" s="172"/>
      <c r="BC31" s="174"/>
      <c r="BD31" s="172"/>
      <c r="BE31" s="172"/>
      <c r="BF31" s="172"/>
      <c r="BG31" s="172"/>
      <c r="BH31" s="174"/>
      <c r="BI31" s="172"/>
      <c r="BJ31" s="174"/>
      <c r="BK31" s="417">
        <v>3.4</v>
      </c>
      <c r="BL31" s="147" t="str">
        <f t="shared" si="7"/>
        <v>เพิ่มขึ้น</v>
      </c>
      <c r="BM31" s="143">
        <f t="shared" si="8"/>
        <v>1</v>
      </c>
      <c r="BN31" s="143">
        <f t="shared" si="9"/>
        <v>0</v>
      </c>
      <c r="BO31" s="175">
        <f t="shared" si="10"/>
        <v>11.200000000000001</v>
      </c>
      <c r="BP31" s="168">
        <v>21767</v>
      </c>
      <c r="BQ31" s="169"/>
    </row>
    <row r="32" spans="1:69" ht="21" customHeight="1" x14ac:dyDescent="0.45">
      <c r="A32" s="416" t="s">
        <v>742</v>
      </c>
      <c r="B32" s="171" t="s">
        <v>718</v>
      </c>
      <c r="C32" s="171" t="s">
        <v>718</v>
      </c>
      <c r="D32" s="171" t="s">
        <v>26</v>
      </c>
      <c r="E32" s="171" t="s">
        <v>26</v>
      </c>
      <c r="F32" s="171" t="s">
        <v>26</v>
      </c>
      <c r="G32" s="171" t="s">
        <v>26</v>
      </c>
      <c r="H32" s="171" t="s">
        <v>26</v>
      </c>
      <c r="I32" s="171" t="s">
        <v>26</v>
      </c>
      <c r="J32" s="171" t="s">
        <v>26</v>
      </c>
      <c r="K32" s="171" t="s">
        <v>718</v>
      </c>
      <c r="L32" s="171" t="s">
        <v>718</v>
      </c>
      <c r="M32" s="171" t="s">
        <v>719</v>
      </c>
      <c r="N32" s="172"/>
      <c r="O32" s="172"/>
      <c r="P32" s="171"/>
      <c r="Q32" s="172"/>
      <c r="R32" s="172"/>
      <c r="S32" s="172"/>
      <c r="T32" s="171"/>
      <c r="U32" s="172"/>
      <c r="V32" s="172"/>
      <c r="W32" s="172"/>
      <c r="X32" s="171"/>
      <c r="Y32" s="172"/>
      <c r="Z32" s="172"/>
      <c r="AA32" s="172"/>
      <c r="AB32" s="172"/>
      <c r="AC32" s="171"/>
      <c r="AD32" s="172"/>
      <c r="AE32" s="171"/>
      <c r="AF32" s="171">
        <v>2.25</v>
      </c>
      <c r="AG32" s="171" t="s">
        <v>718</v>
      </c>
      <c r="AH32" s="171" t="s">
        <v>718</v>
      </c>
      <c r="AI32" s="171" t="s">
        <v>26</v>
      </c>
      <c r="AJ32" s="171" t="s">
        <v>26</v>
      </c>
      <c r="AK32" s="171" t="s">
        <v>26</v>
      </c>
      <c r="AL32" s="171" t="s">
        <v>26</v>
      </c>
      <c r="AM32" s="171" t="s">
        <v>26</v>
      </c>
      <c r="AN32" s="171" t="s">
        <v>26</v>
      </c>
      <c r="AO32" s="171" t="s">
        <v>26</v>
      </c>
      <c r="AP32" s="171" t="s">
        <v>718</v>
      </c>
      <c r="AQ32" s="171" t="s">
        <v>718</v>
      </c>
      <c r="AR32" s="143" t="s">
        <v>719</v>
      </c>
      <c r="AS32" s="172"/>
      <c r="AT32" s="172"/>
      <c r="AU32" s="174"/>
      <c r="AV32" s="172"/>
      <c r="AW32" s="172"/>
      <c r="AX32" s="172"/>
      <c r="AY32" s="174"/>
      <c r="AZ32" s="172"/>
      <c r="BA32" s="172"/>
      <c r="BB32" s="172"/>
      <c r="BC32" s="174"/>
      <c r="BD32" s="172"/>
      <c r="BE32" s="172"/>
      <c r="BF32" s="172"/>
      <c r="BG32" s="172"/>
      <c r="BH32" s="174"/>
      <c r="BI32" s="172"/>
      <c r="BJ32" s="174"/>
      <c r="BK32" s="417">
        <v>3.12</v>
      </c>
      <c r="BL32" s="147" t="str">
        <f t="shared" si="7"/>
        <v>เพิ่มขึ้น</v>
      </c>
      <c r="BM32" s="143">
        <f t="shared" si="8"/>
        <v>1</v>
      </c>
      <c r="BN32" s="143">
        <f t="shared" si="9"/>
        <v>0</v>
      </c>
      <c r="BO32" s="175">
        <f t="shared" si="10"/>
        <v>17.400000000000002</v>
      </c>
      <c r="BP32" s="168">
        <v>21763</v>
      </c>
      <c r="BQ32" s="169"/>
    </row>
    <row r="33" spans="1:72" ht="23.25" customHeight="1" x14ac:dyDescent="0.45">
      <c r="A33" s="416" t="s">
        <v>844</v>
      </c>
      <c r="B33" s="171" t="s">
        <v>718</v>
      </c>
      <c r="C33" s="171" t="s">
        <v>718</v>
      </c>
      <c r="D33" s="171" t="s">
        <v>26</v>
      </c>
      <c r="E33" s="171" t="s">
        <v>26</v>
      </c>
      <c r="F33" s="171" t="s">
        <v>26</v>
      </c>
      <c r="G33" s="171" t="s">
        <v>26</v>
      </c>
      <c r="H33" s="171" t="s">
        <v>26</v>
      </c>
      <c r="I33" s="171" t="s">
        <v>26</v>
      </c>
      <c r="J33" s="171" t="s">
        <v>26</v>
      </c>
      <c r="K33" s="171" t="s">
        <v>718</v>
      </c>
      <c r="L33" s="171" t="s">
        <v>718</v>
      </c>
      <c r="M33" s="171" t="s">
        <v>719</v>
      </c>
      <c r="N33" s="172"/>
      <c r="O33" s="172"/>
      <c r="P33" s="171"/>
      <c r="Q33" s="172"/>
      <c r="R33" s="172"/>
      <c r="S33" s="172"/>
      <c r="T33" s="171"/>
      <c r="U33" s="172"/>
      <c r="V33" s="172"/>
      <c r="W33" s="172"/>
      <c r="X33" s="171"/>
      <c r="Y33" s="172"/>
      <c r="Z33" s="172"/>
      <c r="AA33" s="172"/>
      <c r="AB33" s="172"/>
      <c r="AC33" s="171"/>
      <c r="AD33" s="172"/>
      <c r="AE33" s="171"/>
      <c r="AF33" s="171">
        <v>2.33</v>
      </c>
      <c r="AG33" s="171" t="s">
        <v>718</v>
      </c>
      <c r="AH33" s="171" t="s">
        <v>718</v>
      </c>
      <c r="AI33" s="171" t="s">
        <v>26</v>
      </c>
      <c r="AJ33" s="171" t="s">
        <v>26</v>
      </c>
      <c r="AK33" s="171" t="s">
        <v>26</v>
      </c>
      <c r="AL33" s="171" t="s">
        <v>26</v>
      </c>
      <c r="AM33" s="171" t="s">
        <v>26</v>
      </c>
      <c r="AN33" s="171" t="s">
        <v>26</v>
      </c>
      <c r="AO33" s="171" t="s">
        <v>26</v>
      </c>
      <c r="AP33" s="171" t="s">
        <v>718</v>
      </c>
      <c r="AQ33" s="171" t="s">
        <v>718</v>
      </c>
      <c r="AR33" s="143" t="s">
        <v>719</v>
      </c>
      <c r="AS33" s="172"/>
      <c r="AT33" s="172"/>
      <c r="AU33" s="174"/>
      <c r="AV33" s="172"/>
      <c r="AW33" s="172"/>
      <c r="AX33" s="172"/>
      <c r="AY33" s="174"/>
      <c r="AZ33" s="172"/>
      <c r="BA33" s="172"/>
      <c r="BB33" s="172"/>
      <c r="BC33" s="174"/>
      <c r="BD33" s="172"/>
      <c r="BE33" s="172"/>
      <c r="BF33" s="172"/>
      <c r="BG33" s="172"/>
      <c r="BH33" s="174"/>
      <c r="BI33" s="172"/>
      <c r="BJ33" s="174"/>
      <c r="BK33" s="417">
        <v>3.09</v>
      </c>
      <c r="BL33" s="147" t="str">
        <f t="shared" si="7"/>
        <v>เพิ่มขึ้น</v>
      </c>
      <c r="BM33" s="143">
        <f t="shared" si="8"/>
        <v>1</v>
      </c>
      <c r="BN33" s="143">
        <f t="shared" si="9"/>
        <v>0</v>
      </c>
      <c r="BO33" s="175">
        <f t="shared" si="10"/>
        <v>15.199999999999998</v>
      </c>
      <c r="BP33" s="168">
        <v>21763</v>
      </c>
      <c r="BQ33" s="169"/>
    </row>
    <row r="34" spans="1:72" ht="22.5" customHeight="1" x14ac:dyDescent="0.45">
      <c r="A34" s="416" t="s">
        <v>845</v>
      </c>
      <c r="B34" s="171" t="s">
        <v>718</v>
      </c>
      <c r="C34" s="171" t="s">
        <v>718</v>
      </c>
      <c r="D34" s="171" t="s">
        <v>26</v>
      </c>
      <c r="E34" s="171" t="s">
        <v>26</v>
      </c>
      <c r="F34" s="171" t="s">
        <v>26</v>
      </c>
      <c r="G34" s="171" t="s">
        <v>26</v>
      </c>
      <c r="H34" s="171" t="s">
        <v>26</v>
      </c>
      <c r="I34" s="171" t="s">
        <v>26</v>
      </c>
      <c r="J34" s="171" t="s">
        <v>26</v>
      </c>
      <c r="K34" s="171" t="s">
        <v>718</v>
      </c>
      <c r="L34" s="171" t="s">
        <v>718</v>
      </c>
      <c r="M34" s="171" t="s">
        <v>719</v>
      </c>
      <c r="N34" s="172"/>
      <c r="O34" s="172"/>
      <c r="P34" s="171"/>
      <c r="Q34" s="172"/>
      <c r="R34" s="172"/>
      <c r="S34" s="172"/>
      <c r="T34" s="171"/>
      <c r="U34" s="172"/>
      <c r="V34" s="172"/>
      <c r="W34" s="172"/>
      <c r="X34" s="171"/>
      <c r="Y34" s="172"/>
      <c r="Z34" s="172"/>
      <c r="AA34" s="172"/>
      <c r="AB34" s="172"/>
      <c r="AC34" s="171"/>
      <c r="AD34" s="172"/>
      <c r="AE34" s="171"/>
      <c r="AF34" s="171">
        <v>1.67</v>
      </c>
      <c r="AG34" s="171" t="s">
        <v>718</v>
      </c>
      <c r="AH34" s="171" t="s">
        <v>718</v>
      </c>
      <c r="AI34" s="171" t="s">
        <v>26</v>
      </c>
      <c r="AJ34" s="171" t="s">
        <v>26</v>
      </c>
      <c r="AK34" s="171" t="s">
        <v>26</v>
      </c>
      <c r="AL34" s="171" t="s">
        <v>26</v>
      </c>
      <c r="AM34" s="171" t="s">
        <v>26</v>
      </c>
      <c r="AN34" s="171" t="s">
        <v>26</v>
      </c>
      <c r="AO34" s="171" t="s">
        <v>26</v>
      </c>
      <c r="AP34" s="171" t="s">
        <v>718</v>
      </c>
      <c r="AQ34" s="171" t="s">
        <v>718</v>
      </c>
      <c r="AR34" s="143" t="s">
        <v>719</v>
      </c>
      <c r="AS34" s="172"/>
      <c r="AT34" s="172"/>
      <c r="AU34" s="174"/>
      <c r="AV34" s="172"/>
      <c r="AW34" s="172"/>
      <c r="AX34" s="172"/>
      <c r="AY34" s="174"/>
      <c r="AZ34" s="172"/>
      <c r="BA34" s="172"/>
      <c r="BB34" s="172"/>
      <c r="BC34" s="174"/>
      <c r="BD34" s="172"/>
      <c r="BE34" s="172"/>
      <c r="BF34" s="172"/>
      <c r="BG34" s="172"/>
      <c r="BH34" s="174"/>
      <c r="BI34" s="172"/>
      <c r="BJ34" s="174"/>
      <c r="BK34" s="417">
        <v>3.17</v>
      </c>
      <c r="BL34" s="147" t="str">
        <f t="shared" si="7"/>
        <v>เพิ่มขึ้น</v>
      </c>
      <c r="BM34" s="143">
        <f t="shared" si="8"/>
        <v>1</v>
      </c>
      <c r="BN34" s="143">
        <f t="shared" si="9"/>
        <v>0</v>
      </c>
      <c r="BO34" s="175">
        <f t="shared" si="10"/>
        <v>30</v>
      </c>
      <c r="BP34" s="168">
        <v>21765</v>
      </c>
      <c r="BQ34" s="169"/>
    </row>
    <row r="35" spans="1:72" ht="22.5" x14ac:dyDescent="0.45">
      <c r="A35" s="433" t="s">
        <v>728</v>
      </c>
      <c r="B35" s="434"/>
      <c r="C35" s="434"/>
      <c r="D35" s="434"/>
      <c r="E35" s="434"/>
      <c r="F35" s="434"/>
      <c r="G35" s="434"/>
      <c r="H35" s="434"/>
      <c r="I35" s="434"/>
      <c r="J35" s="434"/>
      <c r="K35" s="434"/>
      <c r="L35" s="434"/>
      <c r="M35" s="434"/>
      <c r="N35" s="172"/>
      <c r="O35" s="172"/>
      <c r="P35" s="434"/>
      <c r="Q35" s="172"/>
      <c r="R35" s="172"/>
      <c r="S35" s="172"/>
      <c r="T35" s="434"/>
      <c r="U35" s="172"/>
      <c r="V35" s="172"/>
      <c r="W35" s="172"/>
      <c r="X35" s="434"/>
      <c r="Y35" s="172"/>
      <c r="Z35" s="172"/>
      <c r="AA35" s="172"/>
      <c r="AB35" s="172"/>
      <c r="AC35" s="434"/>
      <c r="AD35" s="172"/>
      <c r="AE35" s="434"/>
      <c r="AF35" s="434"/>
      <c r="AG35" s="434"/>
      <c r="AH35" s="434"/>
      <c r="AI35" s="434"/>
      <c r="AJ35" s="434"/>
      <c r="AK35" s="434"/>
      <c r="AL35" s="434"/>
      <c r="AM35" s="434"/>
      <c r="AN35" s="434"/>
      <c r="AO35" s="434"/>
      <c r="AP35" s="434"/>
      <c r="AQ35" s="434"/>
      <c r="AR35" s="434"/>
      <c r="AS35" s="172"/>
      <c r="AT35" s="172"/>
      <c r="AU35" s="434"/>
      <c r="AV35" s="172"/>
      <c r="AW35" s="172"/>
      <c r="AX35" s="172"/>
      <c r="AY35" s="434"/>
      <c r="AZ35" s="172"/>
      <c r="BA35" s="172"/>
      <c r="BB35" s="172"/>
      <c r="BC35" s="434"/>
      <c r="BD35" s="172"/>
      <c r="BE35" s="172"/>
      <c r="BF35" s="172"/>
      <c r="BG35" s="172"/>
      <c r="BH35" s="434"/>
      <c r="BI35" s="172"/>
      <c r="BJ35" s="434"/>
      <c r="BK35" s="434"/>
      <c r="BL35" s="179"/>
      <c r="BM35" s="179"/>
      <c r="BN35" s="179"/>
      <c r="BO35" s="180"/>
      <c r="BP35" s="188"/>
      <c r="BQ35" s="181"/>
    </row>
    <row r="36" spans="1:72" ht="22.5" customHeight="1" x14ac:dyDescent="0.45">
      <c r="A36" s="189" t="s">
        <v>744</v>
      </c>
      <c r="B36" s="171" t="s">
        <v>718</v>
      </c>
      <c r="C36" s="171" t="s">
        <v>718</v>
      </c>
      <c r="D36" s="171" t="s">
        <v>718</v>
      </c>
      <c r="E36" s="171" t="s">
        <v>718</v>
      </c>
      <c r="F36" s="171" t="s">
        <v>718</v>
      </c>
      <c r="G36" s="171" t="s">
        <v>718</v>
      </c>
      <c r="H36" s="171" t="s">
        <v>718</v>
      </c>
      <c r="I36" s="171" t="s">
        <v>718</v>
      </c>
      <c r="J36" s="171" t="s">
        <v>718</v>
      </c>
      <c r="K36" s="171" t="s">
        <v>718</v>
      </c>
      <c r="L36" s="171" t="s">
        <v>718</v>
      </c>
      <c r="M36" s="171" t="s">
        <v>719</v>
      </c>
      <c r="N36" s="172"/>
      <c r="O36" s="172"/>
      <c r="P36" s="171"/>
      <c r="Q36" s="172"/>
      <c r="R36" s="172"/>
      <c r="S36" s="172"/>
      <c r="T36" s="171"/>
      <c r="U36" s="172"/>
      <c r="V36" s="172"/>
      <c r="W36" s="172"/>
      <c r="X36" s="171"/>
      <c r="Y36" s="172"/>
      <c r="Z36" s="172"/>
      <c r="AA36" s="172"/>
      <c r="AB36" s="172"/>
      <c r="AC36" s="171"/>
      <c r="AD36" s="172"/>
      <c r="AE36" s="171"/>
      <c r="AF36" s="171">
        <v>3.25</v>
      </c>
      <c r="AG36" s="171" t="s">
        <v>718</v>
      </c>
      <c r="AH36" s="171" t="s">
        <v>718</v>
      </c>
      <c r="AI36" s="171" t="s">
        <v>718</v>
      </c>
      <c r="AJ36" s="171" t="s">
        <v>718</v>
      </c>
      <c r="AK36" s="171" t="s">
        <v>718</v>
      </c>
      <c r="AL36" s="171" t="s">
        <v>718</v>
      </c>
      <c r="AM36" s="171" t="s">
        <v>718</v>
      </c>
      <c r="AN36" s="171" t="s">
        <v>718</v>
      </c>
      <c r="AO36" s="171" t="s">
        <v>718</v>
      </c>
      <c r="AP36" s="171" t="s">
        <v>718</v>
      </c>
      <c r="AQ36" s="171" t="s">
        <v>718</v>
      </c>
      <c r="AR36" s="143" t="s">
        <v>719</v>
      </c>
      <c r="AS36" s="172"/>
      <c r="AT36" s="172"/>
      <c r="AU36" s="174"/>
      <c r="AV36" s="172"/>
      <c r="AW36" s="172"/>
      <c r="AX36" s="172"/>
      <c r="AY36" s="174"/>
      <c r="AZ36" s="172"/>
      <c r="BA36" s="172"/>
      <c r="BB36" s="172"/>
      <c r="BC36" s="174"/>
      <c r="BD36" s="172"/>
      <c r="BE36" s="172"/>
      <c r="BF36" s="172"/>
      <c r="BG36" s="172"/>
      <c r="BH36" s="174"/>
      <c r="BI36" s="172"/>
      <c r="BJ36" s="174"/>
      <c r="BK36" s="417">
        <v>3.48</v>
      </c>
      <c r="BL36" s="242" t="str">
        <f t="shared" ref="BL36:BL38" si="11">IF(AF36="ไม่ประเมิน","คงที่",IF(AF36&lt;BK36,"เพิ่มขึ้น",IF(AF36&gt;BK36,"ลดลง",IF(AF36=BK36,"คงที่",""))))</f>
        <v>เพิ่มขึ้น</v>
      </c>
      <c r="BM36" s="143">
        <f t="shared" ref="BM36:BM37" si="12">IF(BL36="-","",IF(BL36="เพิ่มขึ้น",1,IF(BL36="ลดลง",0)))</f>
        <v>1</v>
      </c>
      <c r="BN36" s="143">
        <f t="shared" ref="BN36:BN37" si="13">IF(BL36="-","",IF(BL36="เพิ่มขึ้น",0,IF(BL36="ลดลง",1)))</f>
        <v>0</v>
      </c>
      <c r="BO36" s="175">
        <f t="shared" ref="BO36" si="14">SUM(BK36-AF36)/5*100</f>
        <v>4.5999999999999996</v>
      </c>
      <c r="BP36" s="168">
        <v>21765</v>
      </c>
      <c r="BQ36" s="169"/>
    </row>
    <row r="37" spans="1:72" ht="21" customHeight="1" x14ac:dyDescent="0.45">
      <c r="A37" s="170" t="s">
        <v>745</v>
      </c>
      <c r="B37" s="187" t="s">
        <v>26</v>
      </c>
      <c r="C37" s="187" t="s">
        <v>26</v>
      </c>
      <c r="D37" s="187" t="s">
        <v>26</v>
      </c>
      <c r="E37" s="187" t="s">
        <v>26</v>
      </c>
      <c r="F37" s="187" t="s">
        <v>26</v>
      </c>
      <c r="G37" s="187" t="s">
        <v>26</v>
      </c>
      <c r="H37" s="187" t="s">
        <v>26</v>
      </c>
      <c r="I37" s="187" t="s">
        <v>26</v>
      </c>
      <c r="J37" s="187" t="s">
        <v>26</v>
      </c>
      <c r="K37" s="187" t="s">
        <v>26</v>
      </c>
      <c r="L37" s="187" t="s">
        <v>26</v>
      </c>
      <c r="M37" s="187" t="s">
        <v>743</v>
      </c>
      <c r="N37" s="187"/>
      <c r="O37" s="187"/>
      <c r="P37" s="187"/>
      <c r="Q37" s="187"/>
      <c r="R37" s="187"/>
      <c r="S37" s="187"/>
      <c r="T37" s="187"/>
      <c r="U37" s="187"/>
      <c r="V37" s="187"/>
      <c r="W37" s="187"/>
      <c r="X37" s="187"/>
      <c r="Y37" s="187"/>
      <c r="Z37" s="187"/>
      <c r="AA37" s="187"/>
      <c r="AB37" s="187"/>
      <c r="AC37" s="187"/>
      <c r="AD37" s="187"/>
      <c r="AE37" s="187"/>
      <c r="AF37" s="187" t="s">
        <v>743</v>
      </c>
      <c r="AG37" s="187" t="s">
        <v>26</v>
      </c>
      <c r="AH37" s="187" t="s">
        <v>26</v>
      </c>
      <c r="AI37" s="187" t="s">
        <v>26</v>
      </c>
      <c r="AJ37" s="187" t="s">
        <v>26</v>
      </c>
      <c r="AK37" s="187" t="s">
        <v>26</v>
      </c>
      <c r="AL37" s="187" t="s">
        <v>26</v>
      </c>
      <c r="AM37" s="187" t="s">
        <v>26</v>
      </c>
      <c r="AN37" s="187" t="s">
        <v>26</v>
      </c>
      <c r="AO37" s="187" t="s">
        <v>26</v>
      </c>
      <c r="AP37" s="187" t="s">
        <v>26</v>
      </c>
      <c r="AQ37" s="187" t="s">
        <v>26</v>
      </c>
      <c r="AR37" s="143" t="s">
        <v>719</v>
      </c>
      <c r="AS37" s="172"/>
      <c r="AT37" s="172"/>
      <c r="AU37" s="174"/>
      <c r="AV37" s="172"/>
      <c r="AW37" s="172"/>
      <c r="AX37" s="172"/>
      <c r="AY37" s="174"/>
      <c r="AZ37" s="172"/>
      <c r="BA37" s="172"/>
      <c r="BB37" s="172"/>
      <c r="BC37" s="174"/>
      <c r="BD37" s="172"/>
      <c r="BE37" s="172"/>
      <c r="BF37" s="172"/>
      <c r="BG37" s="172"/>
      <c r="BH37" s="174"/>
      <c r="BI37" s="172"/>
      <c r="BJ37" s="174"/>
      <c r="BK37" s="417">
        <v>3.19</v>
      </c>
      <c r="BL37" s="147" t="s">
        <v>26</v>
      </c>
      <c r="BM37" s="143" t="str">
        <f t="shared" si="12"/>
        <v/>
      </c>
      <c r="BN37" s="143" t="str">
        <f t="shared" si="13"/>
        <v/>
      </c>
      <c r="BO37" s="175" t="s">
        <v>26</v>
      </c>
      <c r="BP37" s="168">
        <v>21765</v>
      </c>
      <c r="BQ37" s="169"/>
    </row>
    <row r="38" spans="1:72" ht="22.5" customHeight="1" x14ac:dyDescent="0.45">
      <c r="A38" s="502" t="s">
        <v>746</v>
      </c>
      <c r="B38" s="502"/>
      <c r="C38" s="502"/>
      <c r="D38" s="502"/>
      <c r="E38" s="502"/>
      <c r="F38" s="502"/>
      <c r="G38" s="502"/>
      <c r="H38" s="502"/>
      <c r="I38" s="502"/>
      <c r="J38" s="502"/>
      <c r="K38" s="502"/>
      <c r="L38" s="502"/>
      <c r="M38" s="502"/>
      <c r="N38" s="196"/>
      <c r="O38" s="196"/>
      <c r="P38" s="401"/>
      <c r="Q38" s="196"/>
      <c r="R38" s="196"/>
      <c r="S38" s="196"/>
      <c r="T38" s="401"/>
      <c r="U38" s="196"/>
      <c r="V38" s="196"/>
      <c r="W38" s="196"/>
      <c r="X38" s="401"/>
      <c r="Y38" s="196"/>
      <c r="Z38" s="196"/>
      <c r="AA38" s="196"/>
      <c r="AB38" s="196"/>
      <c r="AC38" s="401"/>
      <c r="AD38" s="196"/>
      <c r="AE38" s="401"/>
      <c r="AF38" s="197">
        <f>SUM(AF26:AF34,AF36:AF37)/10</f>
        <v>2.5780000000000003</v>
      </c>
      <c r="AG38" s="197"/>
      <c r="AH38" s="197"/>
      <c r="AI38" s="197"/>
      <c r="AJ38" s="197"/>
      <c r="AK38" s="197"/>
      <c r="AL38" s="197"/>
      <c r="AM38" s="197"/>
      <c r="AN38" s="197"/>
      <c r="AO38" s="197"/>
      <c r="AP38" s="197"/>
      <c r="AQ38" s="197"/>
      <c r="AR38" s="197"/>
      <c r="AS38" s="196"/>
      <c r="AT38" s="196"/>
      <c r="AU38" s="401"/>
      <c r="AV38" s="196"/>
      <c r="AW38" s="196"/>
      <c r="AX38" s="196"/>
      <c r="AY38" s="401"/>
      <c r="AZ38" s="196"/>
      <c r="BA38" s="196"/>
      <c r="BB38" s="196"/>
      <c r="BC38" s="401"/>
      <c r="BD38" s="196"/>
      <c r="BE38" s="196"/>
      <c r="BF38" s="196"/>
      <c r="BG38" s="196"/>
      <c r="BH38" s="401"/>
      <c r="BI38" s="196"/>
      <c r="BJ38" s="401"/>
      <c r="BK38" s="197">
        <v>3.3</v>
      </c>
      <c r="BL38" s="241" t="str">
        <f t="shared" si="11"/>
        <v>เพิ่มขึ้น</v>
      </c>
      <c r="BM38" s="183"/>
      <c r="BN38" s="183"/>
      <c r="BO38" s="182"/>
      <c r="BP38" s="190"/>
      <c r="BQ38" s="181"/>
    </row>
    <row r="39" spans="1:72" ht="22.5" x14ac:dyDescent="0.45">
      <c r="A39" s="429" t="s">
        <v>747</v>
      </c>
      <c r="B39" s="430"/>
      <c r="C39" s="430"/>
      <c r="D39" s="430"/>
      <c r="E39" s="430"/>
      <c r="F39" s="430"/>
      <c r="G39" s="430"/>
      <c r="H39" s="430"/>
      <c r="I39" s="430"/>
      <c r="J39" s="430"/>
      <c r="K39" s="430"/>
      <c r="L39" s="430"/>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158"/>
      <c r="BM39" s="160"/>
      <c r="BN39" s="160"/>
      <c r="BO39" s="186"/>
      <c r="BP39" s="186"/>
      <c r="BQ39" s="161"/>
    </row>
    <row r="40" spans="1:72" ht="23.25" thickBot="1" x14ac:dyDescent="0.5">
      <c r="A40" s="432" t="s">
        <v>716</v>
      </c>
      <c r="B40" s="402"/>
      <c r="C40" s="402"/>
      <c r="D40" s="402"/>
      <c r="E40" s="402"/>
      <c r="F40" s="402"/>
      <c r="G40" s="402"/>
      <c r="H40" s="402"/>
      <c r="I40" s="402"/>
      <c r="J40" s="402"/>
      <c r="K40" s="402"/>
      <c r="L40" s="402"/>
      <c r="M40" s="402"/>
      <c r="N40" s="196"/>
      <c r="O40" s="196"/>
      <c r="P40" s="402"/>
      <c r="Q40" s="196"/>
      <c r="R40" s="196"/>
      <c r="S40" s="196"/>
      <c r="T40" s="402"/>
      <c r="U40" s="196"/>
      <c r="V40" s="196"/>
      <c r="W40" s="196"/>
      <c r="X40" s="402"/>
      <c r="Y40" s="196"/>
      <c r="Z40" s="196"/>
      <c r="AA40" s="196"/>
      <c r="AB40" s="196"/>
      <c r="AC40" s="402"/>
      <c r="AD40" s="196"/>
      <c r="AE40" s="402"/>
      <c r="AF40" s="402"/>
      <c r="AG40" s="402"/>
      <c r="AH40" s="402"/>
      <c r="AI40" s="402"/>
      <c r="AJ40" s="402"/>
      <c r="AK40" s="402"/>
      <c r="AL40" s="402"/>
      <c r="AM40" s="402"/>
      <c r="AN40" s="402"/>
      <c r="AO40" s="402"/>
      <c r="AP40" s="402"/>
      <c r="AQ40" s="402"/>
      <c r="AR40" s="402"/>
      <c r="AS40" s="196"/>
      <c r="AT40" s="196"/>
      <c r="AU40" s="402"/>
      <c r="AV40" s="196"/>
      <c r="AW40" s="196"/>
      <c r="AX40" s="196"/>
      <c r="AY40" s="402"/>
      <c r="AZ40" s="196"/>
      <c r="BA40" s="196"/>
      <c r="BB40" s="196"/>
      <c r="BC40" s="402"/>
      <c r="BD40" s="196"/>
      <c r="BE40" s="196"/>
      <c r="BF40" s="196"/>
      <c r="BG40" s="196"/>
      <c r="BH40" s="402"/>
      <c r="BI40" s="196"/>
      <c r="BJ40" s="402"/>
      <c r="BK40" s="402"/>
      <c r="BL40" s="192"/>
      <c r="BM40" s="192"/>
      <c r="BN40" s="192"/>
      <c r="BO40" s="193"/>
      <c r="BP40" s="194"/>
      <c r="BQ40" s="161"/>
    </row>
    <row r="41" spans="1:72" ht="23.25" customHeight="1" thickBot="1" x14ac:dyDescent="0.5">
      <c r="A41" s="170" t="s">
        <v>748</v>
      </c>
      <c r="B41" s="171" t="s">
        <v>718</v>
      </c>
      <c r="C41" s="171" t="s">
        <v>718</v>
      </c>
      <c r="D41" s="171" t="s">
        <v>26</v>
      </c>
      <c r="E41" s="171" t="s">
        <v>26</v>
      </c>
      <c r="F41" s="171" t="s">
        <v>26</v>
      </c>
      <c r="G41" s="171" t="s">
        <v>26</v>
      </c>
      <c r="H41" s="171" t="s">
        <v>26</v>
      </c>
      <c r="I41" s="171" t="s">
        <v>26</v>
      </c>
      <c r="J41" s="171" t="s">
        <v>26</v>
      </c>
      <c r="K41" s="171" t="s">
        <v>718</v>
      </c>
      <c r="L41" s="171" t="s">
        <v>718</v>
      </c>
      <c r="M41" s="171" t="s">
        <v>719</v>
      </c>
      <c r="N41" s="172"/>
      <c r="O41" s="172"/>
      <c r="P41" s="171"/>
      <c r="Q41" s="172"/>
      <c r="R41" s="172"/>
      <c r="S41" s="172"/>
      <c r="T41" s="171"/>
      <c r="U41" s="172"/>
      <c r="V41" s="172"/>
      <c r="W41" s="172"/>
      <c r="X41" s="171"/>
      <c r="Y41" s="172"/>
      <c r="Z41" s="172"/>
      <c r="AA41" s="172"/>
      <c r="AB41" s="172"/>
      <c r="AC41" s="171"/>
      <c r="AD41" s="172"/>
      <c r="AE41" s="171"/>
      <c r="AF41" s="171">
        <v>1.95</v>
      </c>
      <c r="AG41" s="171" t="s">
        <v>718</v>
      </c>
      <c r="AH41" s="171" t="s">
        <v>718</v>
      </c>
      <c r="AI41" s="171" t="s">
        <v>26</v>
      </c>
      <c r="AJ41" s="171" t="s">
        <v>26</v>
      </c>
      <c r="AK41" s="171" t="s">
        <v>26</v>
      </c>
      <c r="AL41" s="171" t="s">
        <v>26</v>
      </c>
      <c r="AM41" s="171" t="s">
        <v>26</v>
      </c>
      <c r="AN41" s="171" t="s">
        <v>26</v>
      </c>
      <c r="AO41" s="171" t="s">
        <v>26</v>
      </c>
      <c r="AP41" s="171" t="s">
        <v>718</v>
      </c>
      <c r="AQ41" s="171" t="s">
        <v>718</v>
      </c>
      <c r="AR41" s="143" t="s">
        <v>719</v>
      </c>
      <c r="AS41" s="172"/>
      <c r="AT41" s="172"/>
      <c r="AU41" s="174"/>
      <c r="AV41" s="172"/>
      <c r="AW41" s="172"/>
      <c r="AX41" s="172"/>
      <c r="AY41" s="174"/>
      <c r="AZ41" s="172"/>
      <c r="BA41" s="172"/>
      <c r="BB41" s="172"/>
      <c r="BC41" s="174"/>
      <c r="BD41" s="172"/>
      <c r="BE41" s="172"/>
      <c r="BF41" s="172"/>
      <c r="BG41" s="172"/>
      <c r="BH41" s="174"/>
      <c r="BI41" s="172"/>
      <c r="BJ41" s="174"/>
      <c r="BK41" s="417">
        <v>3.34</v>
      </c>
      <c r="BL41" s="147" t="str">
        <f t="shared" ref="BL41:BL46" si="15">IF(AF41="ไม่ประเมิน","คงที่",IF(AF41&lt;BK41,"เพิ่มขึ้น",IF(AF41&gt;BK41,"ลดลง",IF(AF41=BK41,"คงที่",""))))</f>
        <v>เพิ่มขึ้น</v>
      </c>
      <c r="BM41" s="143">
        <f t="shared" ref="BM41:BM45" si="16">IF(BL41="-","",IF(BL41="เพิ่มขึ้น",1,IF(BL41="ลดลง",0)))</f>
        <v>1</v>
      </c>
      <c r="BN41" s="143">
        <f t="shared" ref="BN41:BN45" si="17">IF(BL41="-","",IF(BL41="เพิ่มขึ้น",0,IF(BL41="ลดลง",1)))</f>
        <v>0</v>
      </c>
      <c r="BO41" s="175">
        <f t="shared" ref="BO41:BO45" si="18">SUM(BK41-AF41)/5*100</f>
        <v>27.799999999999997</v>
      </c>
      <c r="BP41" s="195">
        <v>21763</v>
      </c>
      <c r="BQ41" s="169"/>
    </row>
    <row r="42" spans="1:72" ht="23.25" customHeight="1" thickBot="1" x14ac:dyDescent="0.5">
      <c r="A42" s="170" t="s">
        <v>749</v>
      </c>
      <c r="B42" s="171" t="s">
        <v>718</v>
      </c>
      <c r="C42" s="171" t="s">
        <v>718</v>
      </c>
      <c r="D42" s="171" t="s">
        <v>26</v>
      </c>
      <c r="E42" s="171" t="s">
        <v>26</v>
      </c>
      <c r="F42" s="171" t="s">
        <v>26</v>
      </c>
      <c r="G42" s="171" t="s">
        <v>26</v>
      </c>
      <c r="H42" s="171" t="s">
        <v>26</v>
      </c>
      <c r="I42" s="171" t="s">
        <v>26</v>
      </c>
      <c r="J42" s="171" t="s">
        <v>26</v>
      </c>
      <c r="K42" s="171" t="s">
        <v>718</v>
      </c>
      <c r="L42" s="171" t="s">
        <v>718</v>
      </c>
      <c r="M42" s="171" t="s">
        <v>719</v>
      </c>
      <c r="N42" s="172"/>
      <c r="O42" s="172"/>
      <c r="P42" s="171"/>
      <c r="Q42" s="172"/>
      <c r="R42" s="172"/>
      <c r="S42" s="172"/>
      <c r="T42" s="171"/>
      <c r="U42" s="172"/>
      <c r="V42" s="172"/>
      <c r="W42" s="172"/>
      <c r="X42" s="171"/>
      <c r="Y42" s="172"/>
      <c r="Z42" s="172"/>
      <c r="AA42" s="172"/>
      <c r="AB42" s="172"/>
      <c r="AC42" s="171"/>
      <c r="AD42" s="172"/>
      <c r="AE42" s="171"/>
      <c r="AF42" s="171">
        <v>1.64</v>
      </c>
      <c r="AG42" s="171" t="s">
        <v>718</v>
      </c>
      <c r="AH42" s="171" t="s">
        <v>718</v>
      </c>
      <c r="AI42" s="171" t="s">
        <v>26</v>
      </c>
      <c r="AJ42" s="171" t="s">
        <v>26</v>
      </c>
      <c r="AK42" s="171" t="s">
        <v>26</v>
      </c>
      <c r="AL42" s="171" t="s">
        <v>26</v>
      </c>
      <c r="AM42" s="171" t="s">
        <v>26</v>
      </c>
      <c r="AN42" s="171" t="s">
        <v>26</v>
      </c>
      <c r="AO42" s="171" t="s">
        <v>26</v>
      </c>
      <c r="AP42" s="171" t="s">
        <v>718</v>
      </c>
      <c r="AQ42" s="171" t="s">
        <v>718</v>
      </c>
      <c r="AR42" s="143" t="s">
        <v>719</v>
      </c>
      <c r="AS42" s="172"/>
      <c r="AT42" s="172"/>
      <c r="AU42" s="174"/>
      <c r="AV42" s="172"/>
      <c r="AW42" s="172"/>
      <c r="AX42" s="172"/>
      <c r="AY42" s="174"/>
      <c r="AZ42" s="172"/>
      <c r="BA42" s="172"/>
      <c r="BB42" s="172"/>
      <c r="BC42" s="174"/>
      <c r="BD42" s="172"/>
      <c r="BE42" s="172"/>
      <c r="BF42" s="172"/>
      <c r="BG42" s="172"/>
      <c r="BH42" s="174"/>
      <c r="BI42" s="172"/>
      <c r="BJ42" s="174"/>
      <c r="BK42" s="417">
        <v>1.93</v>
      </c>
      <c r="BL42" s="147" t="str">
        <f t="shared" si="15"/>
        <v>เพิ่มขึ้น</v>
      </c>
      <c r="BM42" s="143">
        <f t="shared" si="16"/>
        <v>1</v>
      </c>
      <c r="BN42" s="143">
        <f t="shared" si="17"/>
        <v>0</v>
      </c>
      <c r="BO42" s="175">
        <f t="shared" si="18"/>
        <v>5.8000000000000007</v>
      </c>
      <c r="BP42" s="195">
        <v>21763</v>
      </c>
      <c r="BQ42" s="169"/>
    </row>
    <row r="43" spans="1:72" ht="20.25" customHeight="1" thickBot="1" x14ac:dyDescent="0.5">
      <c r="A43" s="170" t="s">
        <v>750</v>
      </c>
      <c r="B43" s="171" t="s">
        <v>718</v>
      </c>
      <c r="C43" s="171" t="s">
        <v>718</v>
      </c>
      <c r="D43" s="171" t="s">
        <v>26</v>
      </c>
      <c r="E43" s="171" t="s">
        <v>26</v>
      </c>
      <c r="F43" s="171" t="s">
        <v>26</v>
      </c>
      <c r="G43" s="171" t="s">
        <v>26</v>
      </c>
      <c r="H43" s="171" t="s">
        <v>26</v>
      </c>
      <c r="I43" s="171" t="s">
        <v>26</v>
      </c>
      <c r="J43" s="171" t="s">
        <v>26</v>
      </c>
      <c r="K43" s="171" t="s">
        <v>718</v>
      </c>
      <c r="L43" s="171" t="s">
        <v>718</v>
      </c>
      <c r="M43" s="171" t="s">
        <v>719</v>
      </c>
      <c r="N43" s="172"/>
      <c r="O43" s="172"/>
      <c r="P43" s="171"/>
      <c r="Q43" s="172"/>
      <c r="R43" s="172"/>
      <c r="S43" s="172"/>
      <c r="T43" s="171"/>
      <c r="U43" s="172"/>
      <c r="V43" s="172"/>
      <c r="W43" s="172"/>
      <c r="X43" s="171"/>
      <c r="Y43" s="172"/>
      <c r="Z43" s="172"/>
      <c r="AA43" s="172"/>
      <c r="AB43" s="172"/>
      <c r="AC43" s="171"/>
      <c r="AD43" s="172"/>
      <c r="AE43" s="171"/>
      <c r="AF43" s="171">
        <v>1.73</v>
      </c>
      <c r="AG43" s="171" t="s">
        <v>718</v>
      </c>
      <c r="AH43" s="171" t="s">
        <v>718</v>
      </c>
      <c r="AI43" s="171" t="s">
        <v>26</v>
      </c>
      <c r="AJ43" s="171" t="s">
        <v>26</v>
      </c>
      <c r="AK43" s="171" t="s">
        <v>26</v>
      </c>
      <c r="AL43" s="171" t="s">
        <v>26</v>
      </c>
      <c r="AM43" s="171" t="s">
        <v>26</v>
      </c>
      <c r="AN43" s="171" t="s">
        <v>26</v>
      </c>
      <c r="AO43" s="171" t="s">
        <v>26</v>
      </c>
      <c r="AP43" s="171" t="s">
        <v>718</v>
      </c>
      <c r="AQ43" s="171" t="s">
        <v>718</v>
      </c>
      <c r="AR43" s="143" t="s">
        <v>719</v>
      </c>
      <c r="AS43" s="172"/>
      <c r="AT43" s="172"/>
      <c r="AU43" s="174"/>
      <c r="AV43" s="172"/>
      <c r="AW43" s="172"/>
      <c r="AX43" s="172"/>
      <c r="AY43" s="174"/>
      <c r="AZ43" s="172"/>
      <c r="BA43" s="172"/>
      <c r="BB43" s="172"/>
      <c r="BC43" s="174"/>
      <c r="BD43" s="172"/>
      <c r="BE43" s="172"/>
      <c r="BF43" s="172"/>
      <c r="BG43" s="172"/>
      <c r="BH43" s="174"/>
      <c r="BI43" s="172"/>
      <c r="BJ43" s="174"/>
      <c r="BK43" s="417">
        <v>2.72</v>
      </c>
      <c r="BL43" s="147" t="str">
        <f t="shared" si="15"/>
        <v>เพิ่มขึ้น</v>
      </c>
      <c r="BM43" s="143">
        <f t="shared" si="16"/>
        <v>1</v>
      </c>
      <c r="BN43" s="143">
        <f t="shared" si="17"/>
        <v>0</v>
      </c>
      <c r="BO43" s="175">
        <f t="shared" si="18"/>
        <v>19.800000000000004</v>
      </c>
      <c r="BP43" s="195">
        <v>21764</v>
      </c>
      <c r="BQ43" s="169"/>
    </row>
    <row r="44" spans="1:72" ht="18" customHeight="1" thickBot="1" x14ac:dyDescent="0.5">
      <c r="A44" s="170" t="s">
        <v>751</v>
      </c>
      <c r="B44" s="171" t="s">
        <v>718</v>
      </c>
      <c r="C44" s="171" t="s">
        <v>718</v>
      </c>
      <c r="D44" s="171" t="s">
        <v>26</v>
      </c>
      <c r="E44" s="171" t="s">
        <v>26</v>
      </c>
      <c r="F44" s="171" t="s">
        <v>26</v>
      </c>
      <c r="G44" s="171" t="s">
        <v>26</v>
      </c>
      <c r="H44" s="171" t="s">
        <v>26</v>
      </c>
      <c r="I44" s="171" t="s">
        <v>26</v>
      </c>
      <c r="J44" s="171" t="s">
        <v>26</v>
      </c>
      <c r="K44" s="171" t="s">
        <v>718</v>
      </c>
      <c r="L44" s="171" t="s">
        <v>718</v>
      </c>
      <c r="M44" s="171" t="s">
        <v>719</v>
      </c>
      <c r="N44" s="172"/>
      <c r="O44" s="172"/>
      <c r="P44" s="171"/>
      <c r="Q44" s="172"/>
      <c r="R44" s="172"/>
      <c r="S44" s="172"/>
      <c r="T44" s="171"/>
      <c r="U44" s="172"/>
      <c r="V44" s="172"/>
      <c r="W44" s="172"/>
      <c r="X44" s="171"/>
      <c r="Y44" s="172"/>
      <c r="Z44" s="172"/>
      <c r="AA44" s="172"/>
      <c r="AB44" s="172"/>
      <c r="AC44" s="171"/>
      <c r="AD44" s="172"/>
      <c r="AE44" s="171"/>
      <c r="AF44" s="171">
        <v>2.14</v>
      </c>
      <c r="AG44" s="171" t="s">
        <v>718</v>
      </c>
      <c r="AH44" s="171" t="s">
        <v>718</v>
      </c>
      <c r="AI44" s="171" t="s">
        <v>26</v>
      </c>
      <c r="AJ44" s="171" t="s">
        <v>26</v>
      </c>
      <c r="AK44" s="171" t="s">
        <v>26</v>
      </c>
      <c r="AL44" s="171" t="s">
        <v>26</v>
      </c>
      <c r="AM44" s="171" t="s">
        <v>26</v>
      </c>
      <c r="AN44" s="171" t="s">
        <v>26</v>
      </c>
      <c r="AO44" s="171" t="s">
        <v>26</v>
      </c>
      <c r="AP44" s="171" t="s">
        <v>718</v>
      </c>
      <c r="AQ44" s="171" t="s">
        <v>718</v>
      </c>
      <c r="AR44" s="143" t="s">
        <v>719</v>
      </c>
      <c r="AS44" s="172"/>
      <c r="AT44" s="172"/>
      <c r="AU44" s="174"/>
      <c r="AV44" s="172"/>
      <c r="AW44" s="172"/>
      <c r="AX44" s="172"/>
      <c r="AY44" s="174"/>
      <c r="AZ44" s="172"/>
      <c r="BA44" s="172"/>
      <c r="BB44" s="172"/>
      <c r="BC44" s="174"/>
      <c r="BD44" s="172"/>
      <c r="BE44" s="172"/>
      <c r="BF44" s="172"/>
      <c r="BG44" s="172"/>
      <c r="BH44" s="174"/>
      <c r="BI44" s="172"/>
      <c r="BJ44" s="174"/>
      <c r="BK44" s="417">
        <v>2.78</v>
      </c>
      <c r="BL44" s="147" t="str">
        <f t="shared" si="15"/>
        <v>เพิ่มขึ้น</v>
      </c>
      <c r="BM44" s="143">
        <f t="shared" si="16"/>
        <v>1</v>
      </c>
      <c r="BN44" s="143">
        <f t="shared" si="17"/>
        <v>0</v>
      </c>
      <c r="BO44" s="175">
        <f t="shared" si="18"/>
        <v>12.799999999999995</v>
      </c>
      <c r="BP44" s="195">
        <v>21764</v>
      </c>
      <c r="BQ44" s="169"/>
      <c r="BT44" s="150">
        <v>28</v>
      </c>
    </row>
    <row r="45" spans="1:72" ht="23.25" customHeight="1" thickBot="1" x14ac:dyDescent="0.5">
      <c r="A45" s="170" t="s">
        <v>752</v>
      </c>
      <c r="B45" s="171" t="s">
        <v>718</v>
      </c>
      <c r="C45" s="171" t="s">
        <v>718</v>
      </c>
      <c r="D45" s="171" t="s">
        <v>26</v>
      </c>
      <c r="E45" s="171" t="s">
        <v>26</v>
      </c>
      <c r="F45" s="171" t="s">
        <v>26</v>
      </c>
      <c r="G45" s="171" t="s">
        <v>26</v>
      </c>
      <c r="H45" s="171" t="s">
        <v>26</v>
      </c>
      <c r="I45" s="171" t="s">
        <v>26</v>
      </c>
      <c r="J45" s="171" t="s">
        <v>26</v>
      </c>
      <c r="K45" s="171" t="s">
        <v>718</v>
      </c>
      <c r="L45" s="171" t="s">
        <v>718</v>
      </c>
      <c r="M45" s="171" t="s">
        <v>719</v>
      </c>
      <c r="N45" s="172"/>
      <c r="O45" s="172"/>
      <c r="P45" s="171"/>
      <c r="Q45" s="172"/>
      <c r="R45" s="172"/>
      <c r="S45" s="172"/>
      <c r="T45" s="171"/>
      <c r="U45" s="172"/>
      <c r="V45" s="172"/>
      <c r="W45" s="172"/>
      <c r="X45" s="171"/>
      <c r="Y45" s="172"/>
      <c r="Z45" s="172"/>
      <c r="AA45" s="172"/>
      <c r="AB45" s="172"/>
      <c r="AC45" s="171"/>
      <c r="AD45" s="172"/>
      <c r="AE45" s="171"/>
      <c r="AF45" s="173">
        <v>2.25</v>
      </c>
      <c r="AG45" s="171" t="s">
        <v>718</v>
      </c>
      <c r="AH45" s="171" t="s">
        <v>718</v>
      </c>
      <c r="AI45" s="171" t="s">
        <v>26</v>
      </c>
      <c r="AJ45" s="171" t="s">
        <v>26</v>
      </c>
      <c r="AK45" s="171" t="s">
        <v>26</v>
      </c>
      <c r="AL45" s="171" t="s">
        <v>26</v>
      </c>
      <c r="AM45" s="171" t="s">
        <v>26</v>
      </c>
      <c r="AN45" s="171" t="s">
        <v>26</v>
      </c>
      <c r="AO45" s="171" t="s">
        <v>26</v>
      </c>
      <c r="AP45" s="171" t="s">
        <v>718</v>
      </c>
      <c r="AQ45" s="171" t="s">
        <v>718</v>
      </c>
      <c r="AR45" s="143" t="s">
        <v>719</v>
      </c>
      <c r="AS45" s="172"/>
      <c r="AT45" s="172"/>
      <c r="AU45" s="174"/>
      <c r="AV45" s="172"/>
      <c r="AW45" s="172"/>
      <c r="AX45" s="172"/>
      <c r="AY45" s="174"/>
      <c r="AZ45" s="172"/>
      <c r="BA45" s="172"/>
      <c r="BB45" s="172"/>
      <c r="BC45" s="174"/>
      <c r="BD45" s="172"/>
      <c r="BE45" s="172"/>
      <c r="BF45" s="172"/>
      <c r="BG45" s="172"/>
      <c r="BH45" s="174"/>
      <c r="BI45" s="172"/>
      <c r="BJ45" s="174"/>
      <c r="BK45" s="417">
        <v>3.43</v>
      </c>
      <c r="BL45" s="147" t="str">
        <f t="shared" si="15"/>
        <v>เพิ่มขึ้น</v>
      </c>
      <c r="BM45" s="143">
        <f t="shared" si="16"/>
        <v>1</v>
      </c>
      <c r="BN45" s="143">
        <f t="shared" si="17"/>
        <v>0</v>
      </c>
      <c r="BO45" s="175">
        <f t="shared" si="18"/>
        <v>23.600000000000005</v>
      </c>
      <c r="BP45" s="195">
        <v>21764</v>
      </c>
      <c r="BQ45" s="169"/>
    </row>
    <row r="46" spans="1:72" ht="29.25" customHeight="1" thickBot="1" x14ac:dyDescent="0.5">
      <c r="A46" s="502" t="s">
        <v>753</v>
      </c>
      <c r="B46" s="502"/>
      <c r="C46" s="502"/>
      <c r="D46" s="502"/>
      <c r="E46" s="502"/>
      <c r="F46" s="502"/>
      <c r="G46" s="502"/>
      <c r="H46" s="502"/>
      <c r="I46" s="502"/>
      <c r="J46" s="502"/>
      <c r="K46" s="502"/>
      <c r="L46" s="502"/>
      <c r="M46" s="502"/>
      <c r="N46" s="196"/>
      <c r="O46" s="196"/>
      <c r="P46" s="401"/>
      <c r="Q46" s="196"/>
      <c r="R46" s="196"/>
      <c r="S46" s="196"/>
      <c r="T46" s="401"/>
      <c r="U46" s="196"/>
      <c r="V46" s="196"/>
      <c r="W46" s="196"/>
      <c r="X46" s="401"/>
      <c r="Y46" s="196"/>
      <c r="Z46" s="196"/>
      <c r="AA46" s="196"/>
      <c r="AB46" s="196"/>
      <c r="AC46" s="401"/>
      <c r="AD46" s="196"/>
      <c r="AE46" s="401"/>
      <c r="AF46" s="197">
        <f>SUM(AF41:AF45)/5</f>
        <v>1.9420000000000002</v>
      </c>
      <c r="AG46" s="197"/>
      <c r="AH46" s="197"/>
      <c r="AI46" s="197"/>
      <c r="AJ46" s="197"/>
      <c r="AK46" s="197"/>
      <c r="AL46" s="197"/>
      <c r="AM46" s="197"/>
      <c r="AN46" s="197"/>
      <c r="AO46" s="197"/>
      <c r="AP46" s="197"/>
      <c r="AQ46" s="197"/>
      <c r="AR46" s="197"/>
      <c r="AS46" s="196"/>
      <c r="AT46" s="196"/>
      <c r="AU46" s="401"/>
      <c r="AV46" s="196"/>
      <c r="AW46" s="196"/>
      <c r="AX46" s="196"/>
      <c r="AY46" s="401"/>
      <c r="AZ46" s="196"/>
      <c r="BA46" s="196"/>
      <c r="BB46" s="196"/>
      <c r="BC46" s="401"/>
      <c r="BD46" s="196"/>
      <c r="BE46" s="196"/>
      <c r="BF46" s="196"/>
      <c r="BG46" s="196"/>
      <c r="BH46" s="401"/>
      <c r="BI46" s="196"/>
      <c r="BJ46" s="401"/>
      <c r="BK46" s="197">
        <f>SUM(BK41:BK45)/5</f>
        <v>2.84</v>
      </c>
      <c r="BL46" s="243" t="str">
        <f t="shared" si="15"/>
        <v>เพิ่มขึ้น</v>
      </c>
      <c r="BM46" s="198"/>
      <c r="BN46" s="198"/>
      <c r="BO46" s="197"/>
      <c r="BP46" s="199"/>
      <c r="BQ46" s="161"/>
    </row>
    <row r="47" spans="1:72" ht="23.25" thickBot="1" x14ac:dyDescent="0.5">
      <c r="A47" s="429" t="s">
        <v>754</v>
      </c>
      <c r="B47" s="435"/>
      <c r="C47" s="435"/>
      <c r="D47" s="435"/>
      <c r="E47" s="435"/>
      <c r="F47" s="435"/>
      <c r="G47" s="435"/>
      <c r="H47" s="435"/>
      <c r="I47" s="435"/>
      <c r="J47" s="435"/>
      <c r="K47" s="435"/>
      <c r="L47" s="435"/>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5"/>
      <c r="BL47" s="200"/>
      <c r="BM47" s="200"/>
      <c r="BN47" s="200"/>
      <c r="BO47" s="201"/>
      <c r="BP47" s="202"/>
      <c r="BQ47" s="181"/>
    </row>
    <row r="48" spans="1:72" ht="23.25" thickBot="1" x14ac:dyDescent="0.5">
      <c r="A48" s="432" t="s">
        <v>716</v>
      </c>
      <c r="B48" s="434"/>
      <c r="C48" s="434"/>
      <c r="D48" s="434"/>
      <c r="E48" s="434"/>
      <c r="F48" s="434"/>
      <c r="G48" s="434"/>
      <c r="H48" s="434"/>
      <c r="I48" s="434"/>
      <c r="J48" s="434"/>
      <c r="K48" s="434"/>
      <c r="L48" s="434"/>
      <c r="M48" s="434"/>
      <c r="N48" s="172"/>
      <c r="O48" s="172"/>
      <c r="P48" s="434"/>
      <c r="Q48" s="172"/>
      <c r="R48" s="172"/>
      <c r="S48" s="172"/>
      <c r="T48" s="434"/>
      <c r="U48" s="172"/>
      <c r="V48" s="172"/>
      <c r="W48" s="172"/>
      <c r="X48" s="434"/>
      <c r="Y48" s="172"/>
      <c r="Z48" s="172"/>
      <c r="AA48" s="172"/>
      <c r="AB48" s="172"/>
      <c r="AC48" s="434"/>
      <c r="AD48" s="172"/>
      <c r="AE48" s="434"/>
      <c r="AF48" s="434"/>
      <c r="AG48" s="434"/>
      <c r="AH48" s="434"/>
      <c r="AI48" s="434"/>
      <c r="AJ48" s="434"/>
      <c r="AK48" s="434"/>
      <c r="AL48" s="434"/>
      <c r="AM48" s="434"/>
      <c r="AN48" s="434"/>
      <c r="AO48" s="434"/>
      <c r="AP48" s="434"/>
      <c r="AQ48" s="434"/>
      <c r="AR48" s="434"/>
      <c r="AS48" s="172"/>
      <c r="AT48" s="172"/>
      <c r="AU48" s="434"/>
      <c r="AV48" s="172"/>
      <c r="AW48" s="172"/>
      <c r="AX48" s="172"/>
      <c r="AY48" s="434"/>
      <c r="AZ48" s="172"/>
      <c r="BA48" s="172"/>
      <c r="BB48" s="172"/>
      <c r="BC48" s="434"/>
      <c r="BD48" s="172"/>
      <c r="BE48" s="172"/>
      <c r="BF48" s="172"/>
      <c r="BG48" s="172"/>
      <c r="BH48" s="434"/>
      <c r="BI48" s="172"/>
      <c r="BJ48" s="434"/>
      <c r="BK48" s="434"/>
      <c r="BL48" s="203"/>
      <c r="BM48" s="203"/>
      <c r="BN48" s="203"/>
      <c r="BO48" s="205"/>
      <c r="BP48" s="206"/>
      <c r="BQ48" s="181"/>
    </row>
    <row r="49" spans="1:69" ht="45.75" thickBot="1" x14ac:dyDescent="0.5">
      <c r="A49" s="416" t="s">
        <v>755</v>
      </c>
      <c r="B49" s="171" t="s">
        <v>718</v>
      </c>
      <c r="C49" s="171" t="s">
        <v>718</v>
      </c>
      <c r="D49" s="171" t="s">
        <v>26</v>
      </c>
      <c r="E49" s="171" t="s">
        <v>26</v>
      </c>
      <c r="F49" s="171" t="s">
        <v>26</v>
      </c>
      <c r="G49" s="171" t="s">
        <v>26</v>
      </c>
      <c r="H49" s="171" t="s">
        <v>26</v>
      </c>
      <c r="I49" s="171" t="s">
        <v>26</v>
      </c>
      <c r="J49" s="171" t="s">
        <v>26</v>
      </c>
      <c r="K49" s="171" t="s">
        <v>718</v>
      </c>
      <c r="L49" s="171" t="s">
        <v>718</v>
      </c>
      <c r="M49" s="171" t="s">
        <v>719</v>
      </c>
      <c r="N49" s="172"/>
      <c r="O49" s="172"/>
      <c r="P49" s="171"/>
      <c r="Q49" s="172"/>
      <c r="R49" s="172"/>
      <c r="S49" s="172"/>
      <c r="T49" s="171"/>
      <c r="U49" s="172"/>
      <c r="V49" s="172"/>
      <c r="W49" s="172"/>
      <c r="X49" s="171"/>
      <c r="Y49" s="172"/>
      <c r="Z49" s="172"/>
      <c r="AA49" s="172"/>
      <c r="AB49" s="172"/>
      <c r="AC49" s="171"/>
      <c r="AD49" s="172"/>
      <c r="AE49" s="171"/>
      <c r="AF49" s="171">
        <v>2.59</v>
      </c>
      <c r="AG49" s="171" t="s">
        <v>718</v>
      </c>
      <c r="AH49" s="171" t="s">
        <v>718</v>
      </c>
      <c r="AI49" s="171" t="s">
        <v>26</v>
      </c>
      <c r="AJ49" s="171" t="s">
        <v>26</v>
      </c>
      <c r="AK49" s="171" t="s">
        <v>26</v>
      </c>
      <c r="AL49" s="171" t="s">
        <v>26</v>
      </c>
      <c r="AM49" s="171" t="s">
        <v>26</v>
      </c>
      <c r="AN49" s="171" t="s">
        <v>26</v>
      </c>
      <c r="AO49" s="171" t="s">
        <v>26</v>
      </c>
      <c r="AP49" s="171" t="s">
        <v>718</v>
      </c>
      <c r="AQ49" s="171" t="s">
        <v>718</v>
      </c>
      <c r="AR49" s="143" t="s">
        <v>719</v>
      </c>
      <c r="AS49" s="172"/>
      <c r="AT49" s="172"/>
      <c r="AU49" s="174"/>
      <c r="AV49" s="172"/>
      <c r="AW49" s="172"/>
      <c r="AX49" s="172"/>
      <c r="AY49" s="174"/>
      <c r="AZ49" s="172"/>
      <c r="BA49" s="172"/>
      <c r="BB49" s="172"/>
      <c r="BC49" s="174"/>
      <c r="BD49" s="172"/>
      <c r="BE49" s="172"/>
      <c r="BF49" s="172"/>
      <c r="BG49" s="172"/>
      <c r="BH49" s="174"/>
      <c r="BI49" s="172"/>
      <c r="BJ49" s="174"/>
      <c r="BK49" s="417">
        <v>3.41</v>
      </c>
      <c r="BL49" s="242" t="str">
        <f t="shared" ref="BL49:BL51" si="19">IF(AF49="ไม่ประเมิน","คงที่",IF(AF49&lt;BK49,"เพิ่มขึ้น",IF(AF49&gt;BK49,"ลดลง",IF(AF49=BK49,"คงที่",""))))</f>
        <v>เพิ่มขึ้น</v>
      </c>
      <c r="BM49" s="143">
        <f t="shared" ref="BM49:BM51" si="20">IF(BL49="-","",IF(BL49="เพิ่มขึ้น",1,IF(BL49="ลดลง",0)))</f>
        <v>1</v>
      </c>
      <c r="BN49" s="143">
        <f t="shared" ref="BN49:BN51" si="21">IF(BL49="-","",IF(BL49="เพิ่มขึ้น",0,IF(BL49="ลดลง",1)))</f>
        <v>0</v>
      </c>
      <c r="BO49" s="175">
        <f t="shared" ref="BO49:BO51" si="22">SUM(BK49-AF49)/5*100</f>
        <v>16.400000000000006</v>
      </c>
      <c r="BP49" s="195">
        <v>21767</v>
      </c>
      <c r="BQ49" s="169"/>
    </row>
    <row r="50" spans="1:69" ht="23.25" thickBot="1" x14ac:dyDescent="0.5">
      <c r="A50" s="416" t="s">
        <v>756</v>
      </c>
      <c r="B50" s="171"/>
      <c r="C50" s="171"/>
      <c r="D50" s="171"/>
      <c r="E50" s="171"/>
      <c r="F50" s="171"/>
      <c r="G50" s="171"/>
      <c r="H50" s="171"/>
      <c r="I50" s="171"/>
      <c r="J50" s="171"/>
      <c r="K50" s="171"/>
      <c r="L50" s="171"/>
      <c r="M50" s="171"/>
      <c r="N50" s="172"/>
      <c r="O50" s="172"/>
      <c r="P50" s="171"/>
      <c r="Q50" s="172"/>
      <c r="R50" s="172"/>
      <c r="S50" s="172"/>
      <c r="T50" s="171"/>
      <c r="U50" s="172"/>
      <c r="V50" s="172"/>
      <c r="W50" s="172"/>
      <c r="X50" s="171"/>
      <c r="Y50" s="172"/>
      <c r="Z50" s="172"/>
      <c r="AA50" s="172"/>
      <c r="AB50" s="172"/>
      <c r="AC50" s="171"/>
      <c r="AD50" s="172"/>
      <c r="AE50" s="171"/>
      <c r="AF50" s="171"/>
      <c r="AG50" s="171"/>
      <c r="AH50" s="171"/>
      <c r="AI50" s="171"/>
      <c r="AJ50" s="171"/>
      <c r="AK50" s="171"/>
      <c r="AL50" s="171"/>
      <c r="AM50" s="171"/>
      <c r="AN50" s="171"/>
      <c r="AO50" s="171"/>
      <c r="AP50" s="171"/>
      <c r="AQ50" s="171"/>
      <c r="AR50" s="143"/>
      <c r="AS50" s="172"/>
      <c r="AT50" s="172"/>
      <c r="AU50" s="174"/>
      <c r="AV50" s="172"/>
      <c r="AW50" s="172"/>
      <c r="AX50" s="172"/>
      <c r="AY50" s="174"/>
      <c r="AZ50" s="172"/>
      <c r="BA50" s="172"/>
      <c r="BB50" s="172"/>
      <c r="BC50" s="174"/>
      <c r="BD50" s="172"/>
      <c r="BE50" s="172"/>
      <c r="BF50" s="172"/>
      <c r="BG50" s="172"/>
      <c r="BH50" s="174"/>
      <c r="BI50" s="172"/>
      <c r="BJ50" s="174"/>
      <c r="BK50" s="437">
        <v>3.19</v>
      </c>
      <c r="BL50" s="408"/>
      <c r="BM50" s="177"/>
      <c r="BN50" s="177"/>
      <c r="BO50" s="178"/>
      <c r="BP50" s="195"/>
      <c r="BQ50" s="169"/>
    </row>
    <row r="51" spans="1:69" ht="22.5" customHeight="1" thickBot="1" x14ac:dyDescent="0.5">
      <c r="A51" s="416" t="s">
        <v>846</v>
      </c>
      <c r="B51" s="171" t="s">
        <v>718</v>
      </c>
      <c r="C51" s="171" t="s">
        <v>718</v>
      </c>
      <c r="D51" s="171" t="s">
        <v>26</v>
      </c>
      <c r="E51" s="171" t="s">
        <v>26</v>
      </c>
      <c r="F51" s="171" t="s">
        <v>26</v>
      </c>
      <c r="G51" s="171" t="s">
        <v>26</v>
      </c>
      <c r="H51" s="171" t="s">
        <v>26</v>
      </c>
      <c r="I51" s="171" t="s">
        <v>26</v>
      </c>
      <c r="J51" s="171" t="s">
        <v>26</v>
      </c>
      <c r="K51" s="171" t="s">
        <v>718</v>
      </c>
      <c r="L51" s="171" t="s">
        <v>718</v>
      </c>
      <c r="M51" s="171" t="s">
        <v>719</v>
      </c>
      <c r="N51" s="172"/>
      <c r="O51" s="172"/>
      <c r="P51" s="171"/>
      <c r="Q51" s="172"/>
      <c r="R51" s="172"/>
      <c r="S51" s="172"/>
      <c r="T51" s="171"/>
      <c r="U51" s="172"/>
      <c r="V51" s="172"/>
      <c r="W51" s="172"/>
      <c r="X51" s="171"/>
      <c r="Y51" s="172"/>
      <c r="Z51" s="172"/>
      <c r="AA51" s="172"/>
      <c r="AB51" s="172"/>
      <c r="AC51" s="171"/>
      <c r="AD51" s="172"/>
      <c r="AE51" s="171"/>
      <c r="AF51" s="171">
        <v>2.36</v>
      </c>
      <c r="AG51" s="171" t="s">
        <v>718</v>
      </c>
      <c r="AH51" s="171" t="s">
        <v>718</v>
      </c>
      <c r="AI51" s="171" t="s">
        <v>26</v>
      </c>
      <c r="AJ51" s="171" t="s">
        <v>26</v>
      </c>
      <c r="AK51" s="171" t="s">
        <v>26</v>
      </c>
      <c r="AL51" s="171" t="s">
        <v>26</v>
      </c>
      <c r="AM51" s="171" t="s">
        <v>26</v>
      </c>
      <c r="AN51" s="171" t="s">
        <v>26</v>
      </c>
      <c r="AO51" s="171" t="s">
        <v>26</v>
      </c>
      <c r="AP51" s="171" t="s">
        <v>718</v>
      </c>
      <c r="AQ51" s="171" t="s">
        <v>718</v>
      </c>
      <c r="AR51" s="143" t="s">
        <v>719</v>
      </c>
      <c r="AS51" s="172"/>
      <c r="AT51" s="172"/>
      <c r="AU51" s="174"/>
      <c r="AV51" s="172"/>
      <c r="AW51" s="172"/>
      <c r="AX51" s="172"/>
      <c r="AY51" s="174"/>
      <c r="AZ51" s="172"/>
      <c r="BA51" s="172"/>
      <c r="BB51" s="172"/>
      <c r="BC51" s="174"/>
      <c r="BD51" s="172"/>
      <c r="BE51" s="172"/>
      <c r="BF51" s="172"/>
      <c r="BG51" s="172"/>
      <c r="BH51" s="174"/>
      <c r="BI51" s="172"/>
      <c r="BJ51" s="174"/>
      <c r="BK51" s="437">
        <v>1.64</v>
      </c>
      <c r="BL51" s="240" t="str">
        <f t="shared" si="19"/>
        <v>ลดลง</v>
      </c>
      <c r="BM51" s="177">
        <f t="shared" si="20"/>
        <v>0</v>
      </c>
      <c r="BN51" s="177">
        <f t="shared" si="21"/>
        <v>1</v>
      </c>
      <c r="BO51" s="178">
        <f t="shared" si="22"/>
        <v>-14.399999999999999</v>
      </c>
      <c r="BP51" s="195">
        <v>21765</v>
      </c>
      <c r="BQ51" s="169"/>
    </row>
    <row r="52" spans="1:69" ht="23.25" thickBot="1" x14ac:dyDescent="0.5">
      <c r="A52" s="191" t="s">
        <v>728</v>
      </c>
      <c r="B52" s="203"/>
      <c r="C52" s="203"/>
      <c r="D52" s="203"/>
      <c r="E52" s="203"/>
      <c r="F52" s="203"/>
      <c r="G52" s="203"/>
      <c r="H52" s="203"/>
      <c r="I52" s="203"/>
      <c r="J52" s="203"/>
      <c r="K52" s="203"/>
      <c r="L52" s="203"/>
      <c r="M52" s="203"/>
      <c r="N52" s="204"/>
      <c r="O52" s="204"/>
      <c r="P52" s="203"/>
      <c r="Q52" s="204"/>
      <c r="R52" s="204"/>
      <c r="S52" s="204"/>
      <c r="T52" s="203"/>
      <c r="U52" s="204"/>
      <c r="V52" s="204"/>
      <c r="W52" s="204"/>
      <c r="X52" s="203"/>
      <c r="Y52" s="204"/>
      <c r="Z52" s="204"/>
      <c r="AA52" s="204"/>
      <c r="AB52" s="204"/>
      <c r="AC52" s="203"/>
      <c r="AD52" s="204"/>
      <c r="AE52" s="203"/>
      <c r="AF52" s="203"/>
      <c r="AG52" s="203"/>
      <c r="AH52" s="203"/>
      <c r="AI52" s="203"/>
      <c r="AJ52" s="203"/>
      <c r="AK52" s="203"/>
      <c r="AL52" s="203"/>
      <c r="AM52" s="203"/>
      <c r="AN52" s="203"/>
      <c r="AO52" s="203"/>
      <c r="AP52" s="203"/>
      <c r="AQ52" s="203"/>
      <c r="AR52" s="203"/>
      <c r="AS52" s="204"/>
      <c r="AT52" s="204"/>
      <c r="AU52" s="203"/>
      <c r="AV52" s="204"/>
      <c r="AW52" s="204"/>
      <c r="AX52" s="204"/>
      <c r="AY52" s="203"/>
      <c r="AZ52" s="204"/>
      <c r="BA52" s="204"/>
      <c r="BB52" s="204"/>
      <c r="BC52" s="203"/>
      <c r="BD52" s="204"/>
      <c r="BE52" s="204"/>
      <c r="BF52" s="204"/>
      <c r="BG52" s="204"/>
      <c r="BH52" s="203"/>
      <c r="BI52" s="204"/>
      <c r="BJ52" s="203"/>
      <c r="BK52" s="205"/>
      <c r="BL52" s="179"/>
      <c r="BM52" s="179"/>
      <c r="BN52" s="179"/>
      <c r="BO52" s="180"/>
      <c r="BP52" s="206"/>
      <c r="BQ52" s="181"/>
    </row>
    <row r="53" spans="1:69" ht="22.5" customHeight="1" thickBot="1" x14ac:dyDescent="0.5">
      <c r="A53" s="207" t="s">
        <v>757</v>
      </c>
      <c r="B53" s="164" t="s">
        <v>718</v>
      </c>
      <c r="C53" s="164" t="s">
        <v>718</v>
      </c>
      <c r="D53" s="164" t="s">
        <v>718</v>
      </c>
      <c r="E53" s="164" t="s">
        <v>718</v>
      </c>
      <c r="F53" s="164" t="s">
        <v>718</v>
      </c>
      <c r="G53" s="164" t="s">
        <v>718</v>
      </c>
      <c r="H53" s="164" t="s">
        <v>718</v>
      </c>
      <c r="I53" s="164" t="s">
        <v>718</v>
      </c>
      <c r="J53" s="164" t="s">
        <v>718</v>
      </c>
      <c r="K53" s="164" t="s">
        <v>718</v>
      </c>
      <c r="L53" s="164" t="s">
        <v>718</v>
      </c>
      <c r="M53" s="164" t="s">
        <v>719</v>
      </c>
      <c r="N53" s="165"/>
      <c r="O53" s="165"/>
      <c r="P53" s="164"/>
      <c r="Q53" s="165"/>
      <c r="R53" s="165"/>
      <c r="S53" s="165"/>
      <c r="T53" s="164"/>
      <c r="U53" s="165"/>
      <c r="V53" s="165"/>
      <c r="W53" s="165"/>
      <c r="X53" s="164"/>
      <c r="Y53" s="165"/>
      <c r="Z53" s="165"/>
      <c r="AA53" s="165"/>
      <c r="AB53" s="165"/>
      <c r="AC53" s="164"/>
      <c r="AD53" s="165"/>
      <c r="AE53" s="164"/>
      <c r="AF53" s="164">
        <v>2.83</v>
      </c>
      <c r="AG53" s="164" t="s">
        <v>718</v>
      </c>
      <c r="AH53" s="164" t="s">
        <v>718</v>
      </c>
      <c r="AI53" s="164" t="s">
        <v>718</v>
      </c>
      <c r="AJ53" s="164" t="s">
        <v>718</v>
      </c>
      <c r="AK53" s="164" t="s">
        <v>718</v>
      </c>
      <c r="AL53" s="164" t="s">
        <v>718</v>
      </c>
      <c r="AM53" s="164" t="s">
        <v>718</v>
      </c>
      <c r="AN53" s="164" t="s">
        <v>718</v>
      </c>
      <c r="AO53" s="164" t="s">
        <v>718</v>
      </c>
      <c r="AP53" s="164" t="s">
        <v>718</v>
      </c>
      <c r="AQ53" s="164" t="s">
        <v>718</v>
      </c>
      <c r="AR53" s="166" t="s">
        <v>719</v>
      </c>
      <c r="AS53" s="165"/>
      <c r="AT53" s="165"/>
      <c r="AU53" s="164"/>
      <c r="AV53" s="165"/>
      <c r="AW53" s="165"/>
      <c r="AX53" s="165"/>
      <c r="AY53" s="164"/>
      <c r="AZ53" s="165"/>
      <c r="BA53" s="165"/>
      <c r="BB53" s="165"/>
      <c r="BC53" s="164"/>
      <c r="BD53" s="165"/>
      <c r="BE53" s="165"/>
      <c r="BF53" s="165"/>
      <c r="BG53" s="165"/>
      <c r="BH53" s="164"/>
      <c r="BI53" s="165"/>
      <c r="BJ53" s="164"/>
      <c r="BK53" s="166">
        <v>2.63</v>
      </c>
      <c r="BL53" s="244" t="str">
        <f>IF(AF53="ไม่ประเมิน","คงที่",IF(AF53&lt;BK53,"เพิ่มขึ้น",IF(AF53&gt;BK53,"ลดลง",IF(AF53=BK53,"คงที่",""))))</f>
        <v>ลดลง</v>
      </c>
      <c r="BM53" s="166">
        <f>IF(BL53="-","",IF(BL53="เพิ่มขึ้น",1,IF(BL53="ลดลง",0)))</f>
        <v>0</v>
      </c>
      <c r="BN53" s="166">
        <f>IF(BL53="-","",IF(BL53="เพิ่มขึ้น",0,IF(BL53="ลดลง",1)))</f>
        <v>1</v>
      </c>
      <c r="BO53" s="167">
        <f>SUM(BK53-AF53)/5*100</f>
        <v>-4.0000000000000036</v>
      </c>
      <c r="BP53" s="195">
        <v>21766</v>
      </c>
      <c r="BQ53" s="169"/>
    </row>
    <row r="54" spans="1:69" ht="45.75" thickBot="1" x14ac:dyDescent="0.5">
      <c r="A54" s="502" t="s">
        <v>758</v>
      </c>
      <c r="B54" s="502"/>
      <c r="C54" s="502"/>
      <c r="D54" s="502"/>
      <c r="E54" s="502"/>
      <c r="F54" s="502"/>
      <c r="G54" s="502"/>
      <c r="H54" s="502"/>
      <c r="I54" s="502"/>
      <c r="J54" s="502"/>
      <c r="K54" s="502"/>
      <c r="L54" s="502"/>
      <c r="M54" s="502"/>
      <c r="N54" s="196"/>
      <c r="O54" s="196"/>
      <c r="P54" s="184"/>
      <c r="Q54" s="196"/>
      <c r="R54" s="196"/>
      <c r="S54" s="196"/>
      <c r="T54" s="184"/>
      <c r="U54" s="196"/>
      <c r="V54" s="196"/>
      <c r="W54" s="196"/>
      <c r="X54" s="184"/>
      <c r="Y54" s="196"/>
      <c r="Z54" s="196"/>
      <c r="AA54" s="196"/>
      <c r="AB54" s="196"/>
      <c r="AC54" s="184"/>
      <c r="AD54" s="196"/>
      <c r="AE54" s="184"/>
      <c r="AF54" s="197">
        <f>SUM(AF49:AF51,AF53)/3</f>
        <v>2.5933333333333333</v>
      </c>
      <c r="AG54" s="197"/>
      <c r="AH54" s="197"/>
      <c r="AI54" s="197"/>
      <c r="AJ54" s="197"/>
      <c r="AK54" s="197"/>
      <c r="AL54" s="197"/>
      <c r="AM54" s="197"/>
      <c r="AN54" s="197"/>
      <c r="AO54" s="197"/>
      <c r="AP54" s="197"/>
      <c r="AQ54" s="197"/>
      <c r="AR54" s="197"/>
      <c r="AS54" s="196"/>
      <c r="AT54" s="196"/>
      <c r="AU54" s="184"/>
      <c r="AV54" s="196"/>
      <c r="AW54" s="196"/>
      <c r="AX54" s="196"/>
      <c r="AY54" s="184"/>
      <c r="AZ54" s="196"/>
      <c r="BA54" s="196"/>
      <c r="BB54" s="196"/>
      <c r="BC54" s="184"/>
      <c r="BD54" s="196"/>
      <c r="BE54" s="196"/>
      <c r="BF54" s="196"/>
      <c r="BG54" s="196"/>
      <c r="BH54" s="184"/>
      <c r="BI54" s="196"/>
      <c r="BJ54" s="184"/>
      <c r="BK54" s="184">
        <v>2.72</v>
      </c>
      <c r="BL54" s="243" t="str">
        <f t="shared" ref="BL54" si="23">IF(AF54="ไม่ประเมิน","คงที่",IF(AF54&lt;BK54,"เพิ่มขึ้น",IF(AF54&gt;BK54,"ลดลง",IF(AF54=BK54,"คงที่",""))))</f>
        <v>เพิ่มขึ้น</v>
      </c>
      <c r="BM54" s="198"/>
      <c r="BN54" s="198"/>
      <c r="BO54" s="184"/>
      <c r="BP54" s="199"/>
      <c r="BQ54" s="161"/>
    </row>
    <row r="55" spans="1:69" ht="23.25" thickBot="1" x14ac:dyDescent="0.5">
      <c r="A55" s="185" t="s">
        <v>759</v>
      </c>
      <c r="B55" s="160"/>
      <c r="C55" s="160"/>
      <c r="D55" s="160"/>
      <c r="E55" s="160"/>
      <c r="F55" s="160"/>
      <c r="G55" s="160"/>
      <c r="H55" s="160"/>
      <c r="I55" s="160"/>
      <c r="J55" s="160"/>
      <c r="K55" s="160"/>
      <c r="L55" s="160"/>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60"/>
      <c r="BK55" s="186"/>
      <c r="BL55" s="160"/>
      <c r="BM55" s="160"/>
      <c r="BN55" s="160"/>
      <c r="BO55" s="186"/>
      <c r="BP55" s="208"/>
      <c r="BQ55" s="161"/>
    </row>
    <row r="56" spans="1:69" ht="23.25" thickBot="1" x14ac:dyDescent="0.5">
      <c r="A56" s="418" t="s">
        <v>716</v>
      </c>
      <c r="B56" s="419"/>
      <c r="C56" s="419"/>
      <c r="D56" s="419"/>
      <c r="E56" s="419"/>
      <c r="F56" s="419"/>
      <c r="G56" s="419"/>
      <c r="H56" s="419"/>
      <c r="I56" s="419"/>
      <c r="J56" s="419"/>
      <c r="K56" s="419"/>
      <c r="L56" s="419"/>
      <c r="M56" s="419"/>
      <c r="N56" s="420"/>
      <c r="O56" s="420"/>
      <c r="P56" s="419"/>
      <c r="Q56" s="420"/>
      <c r="R56" s="420"/>
      <c r="S56" s="420"/>
      <c r="T56" s="419"/>
      <c r="U56" s="420"/>
      <c r="V56" s="420"/>
      <c r="W56" s="420"/>
      <c r="X56" s="419"/>
      <c r="Y56" s="420"/>
      <c r="Z56" s="420"/>
      <c r="AA56" s="420"/>
      <c r="AB56" s="420"/>
      <c r="AC56" s="419"/>
      <c r="AD56" s="420"/>
      <c r="AE56" s="419"/>
      <c r="AF56" s="419"/>
      <c r="AG56" s="419"/>
      <c r="AH56" s="419"/>
      <c r="AI56" s="419"/>
      <c r="AJ56" s="419"/>
      <c r="AK56" s="419"/>
      <c r="AL56" s="419"/>
      <c r="AM56" s="419"/>
      <c r="AN56" s="419"/>
      <c r="AO56" s="419"/>
      <c r="AP56" s="419"/>
      <c r="AQ56" s="419"/>
      <c r="AR56" s="419"/>
      <c r="AS56" s="420"/>
      <c r="AT56" s="420"/>
      <c r="AU56" s="419"/>
      <c r="AV56" s="420"/>
      <c r="AW56" s="420"/>
      <c r="AX56" s="420"/>
      <c r="AY56" s="419"/>
      <c r="AZ56" s="420"/>
      <c r="BA56" s="420"/>
      <c r="BB56" s="420"/>
      <c r="BC56" s="419"/>
      <c r="BD56" s="420"/>
      <c r="BE56" s="420"/>
      <c r="BF56" s="420"/>
      <c r="BG56" s="420"/>
      <c r="BH56" s="419"/>
      <c r="BI56" s="420"/>
      <c r="BJ56" s="419"/>
      <c r="BK56" s="421"/>
      <c r="BL56" s="162"/>
      <c r="BM56" s="162"/>
      <c r="BN56" s="162"/>
      <c r="BO56" s="163"/>
      <c r="BP56" s="194"/>
      <c r="BQ56" s="161"/>
    </row>
    <row r="57" spans="1:69" ht="18" customHeight="1" thickBot="1" x14ac:dyDescent="0.5">
      <c r="A57" s="416" t="s">
        <v>760</v>
      </c>
      <c r="B57" s="171" t="s">
        <v>718</v>
      </c>
      <c r="C57" s="171" t="s">
        <v>718</v>
      </c>
      <c r="D57" s="171" t="s">
        <v>26</v>
      </c>
      <c r="E57" s="171" t="s">
        <v>26</v>
      </c>
      <c r="F57" s="171" t="s">
        <v>26</v>
      </c>
      <c r="G57" s="171" t="s">
        <v>26</v>
      </c>
      <c r="H57" s="171" t="s">
        <v>26</v>
      </c>
      <c r="I57" s="171" t="s">
        <v>26</v>
      </c>
      <c r="J57" s="171" t="s">
        <v>26</v>
      </c>
      <c r="K57" s="171" t="s">
        <v>718</v>
      </c>
      <c r="L57" s="171" t="s">
        <v>718</v>
      </c>
      <c r="M57" s="171" t="s">
        <v>719</v>
      </c>
      <c r="N57" s="172"/>
      <c r="O57" s="172"/>
      <c r="P57" s="171"/>
      <c r="Q57" s="172"/>
      <c r="R57" s="172"/>
      <c r="S57" s="172"/>
      <c r="T57" s="171"/>
      <c r="U57" s="172"/>
      <c r="V57" s="172"/>
      <c r="W57" s="172"/>
      <c r="X57" s="171"/>
      <c r="Y57" s="172"/>
      <c r="Z57" s="172"/>
      <c r="AA57" s="172"/>
      <c r="AB57" s="172"/>
      <c r="AC57" s="171"/>
      <c r="AD57" s="172"/>
      <c r="AE57" s="171"/>
      <c r="AF57" s="173">
        <v>3.13</v>
      </c>
      <c r="AG57" s="171" t="s">
        <v>718</v>
      </c>
      <c r="AH57" s="171" t="s">
        <v>718</v>
      </c>
      <c r="AI57" s="171" t="s">
        <v>26</v>
      </c>
      <c r="AJ57" s="171" t="s">
        <v>26</v>
      </c>
      <c r="AK57" s="171" t="s">
        <v>26</v>
      </c>
      <c r="AL57" s="171" t="s">
        <v>26</v>
      </c>
      <c r="AM57" s="171" t="s">
        <v>26</v>
      </c>
      <c r="AN57" s="171" t="s">
        <v>26</v>
      </c>
      <c r="AO57" s="171" t="s">
        <v>26</v>
      </c>
      <c r="AP57" s="171" t="s">
        <v>718</v>
      </c>
      <c r="AQ57" s="171" t="s">
        <v>718</v>
      </c>
      <c r="AR57" s="143" t="s">
        <v>719</v>
      </c>
      <c r="AS57" s="172"/>
      <c r="AT57" s="172"/>
      <c r="AU57" s="171"/>
      <c r="AV57" s="172"/>
      <c r="AW57" s="172"/>
      <c r="AX57" s="172"/>
      <c r="AY57" s="171"/>
      <c r="AZ57" s="172"/>
      <c r="BA57" s="172"/>
      <c r="BB57" s="172"/>
      <c r="BC57" s="171"/>
      <c r="BD57" s="172"/>
      <c r="BE57" s="172"/>
      <c r="BF57" s="172"/>
      <c r="BG57" s="172"/>
      <c r="BH57" s="171"/>
      <c r="BI57" s="172"/>
      <c r="BJ57" s="171"/>
      <c r="BK57" s="417">
        <v>3.24</v>
      </c>
      <c r="BL57" s="242" t="str">
        <f t="shared" ref="BL57:BL65" si="24">IF(AF57="ไม่ประเมิน","คงที่",IF(AF57&lt;BK57,"เพิ่มขึ้น",IF(AF57&gt;BK57,"ลดลง",IF(AF57=BK57,"คงที่",""))))</f>
        <v>เพิ่มขึ้น</v>
      </c>
      <c r="BM57" s="143">
        <f t="shared" ref="BM57:BM65" si="25">IF(BL57="-","",IF(BL57="เพิ่มขึ้น",1,IF(BL57="ลดลง",0)))</f>
        <v>1</v>
      </c>
      <c r="BN57" s="143">
        <f t="shared" ref="BN57:BN65" si="26">IF(BL57="-","",IF(BL57="เพิ่มขึ้น",0,IF(BL57="ลดลง",1)))</f>
        <v>0</v>
      </c>
      <c r="BO57" s="175">
        <f t="shared" ref="BO57:BO65" si="27">SUM(BK57-AF57)/5*100</f>
        <v>2.2000000000000064</v>
      </c>
      <c r="BP57" s="195">
        <v>21767</v>
      </c>
      <c r="BQ57" s="169"/>
    </row>
    <row r="58" spans="1:69" ht="21" customHeight="1" thickBot="1" x14ac:dyDescent="0.5">
      <c r="A58" s="416" t="s">
        <v>761</v>
      </c>
      <c r="B58" s="171" t="s">
        <v>718</v>
      </c>
      <c r="C58" s="171" t="s">
        <v>718</v>
      </c>
      <c r="D58" s="171" t="s">
        <v>26</v>
      </c>
      <c r="E58" s="171" t="s">
        <v>26</v>
      </c>
      <c r="F58" s="171" t="s">
        <v>26</v>
      </c>
      <c r="G58" s="171" t="s">
        <v>26</v>
      </c>
      <c r="H58" s="171" t="s">
        <v>26</v>
      </c>
      <c r="I58" s="171" t="s">
        <v>26</v>
      </c>
      <c r="J58" s="171" t="s">
        <v>26</v>
      </c>
      <c r="K58" s="171" t="s">
        <v>718</v>
      </c>
      <c r="L58" s="171" t="s">
        <v>718</v>
      </c>
      <c r="M58" s="171" t="s">
        <v>719</v>
      </c>
      <c r="N58" s="172"/>
      <c r="O58" s="172"/>
      <c r="P58" s="171"/>
      <c r="Q58" s="172"/>
      <c r="R58" s="172"/>
      <c r="S58" s="172"/>
      <c r="T58" s="171"/>
      <c r="U58" s="172"/>
      <c r="V58" s="172"/>
      <c r="W58" s="172"/>
      <c r="X58" s="171"/>
      <c r="Y58" s="172"/>
      <c r="Z58" s="172"/>
      <c r="AA58" s="172"/>
      <c r="AB58" s="172"/>
      <c r="AC58" s="171"/>
      <c r="AD58" s="172"/>
      <c r="AE58" s="171"/>
      <c r="AF58" s="173">
        <v>1.89</v>
      </c>
      <c r="AG58" s="171" t="s">
        <v>718</v>
      </c>
      <c r="AH58" s="171" t="s">
        <v>718</v>
      </c>
      <c r="AI58" s="171" t="s">
        <v>26</v>
      </c>
      <c r="AJ58" s="171" t="s">
        <v>26</v>
      </c>
      <c r="AK58" s="171" t="s">
        <v>26</v>
      </c>
      <c r="AL58" s="171" t="s">
        <v>26</v>
      </c>
      <c r="AM58" s="171" t="s">
        <v>26</v>
      </c>
      <c r="AN58" s="171" t="s">
        <v>26</v>
      </c>
      <c r="AO58" s="171" t="s">
        <v>26</v>
      </c>
      <c r="AP58" s="171" t="s">
        <v>718</v>
      </c>
      <c r="AQ58" s="171" t="s">
        <v>718</v>
      </c>
      <c r="AR58" s="143" t="s">
        <v>719</v>
      </c>
      <c r="AS58" s="172"/>
      <c r="AT58" s="172"/>
      <c r="AU58" s="171"/>
      <c r="AV58" s="172"/>
      <c r="AW58" s="172"/>
      <c r="AX58" s="172"/>
      <c r="AY58" s="171"/>
      <c r="AZ58" s="172"/>
      <c r="BA58" s="172"/>
      <c r="BB58" s="172"/>
      <c r="BC58" s="171"/>
      <c r="BD58" s="172"/>
      <c r="BE58" s="172"/>
      <c r="BF58" s="172"/>
      <c r="BG58" s="172"/>
      <c r="BH58" s="171"/>
      <c r="BI58" s="172"/>
      <c r="BJ58" s="171"/>
      <c r="BK58" s="417">
        <v>3.17</v>
      </c>
      <c r="BL58" s="147" t="str">
        <f t="shared" si="24"/>
        <v>เพิ่มขึ้น</v>
      </c>
      <c r="BM58" s="143">
        <f t="shared" si="25"/>
        <v>1</v>
      </c>
      <c r="BN58" s="143">
        <f t="shared" si="26"/>
        <v>0</v>
      </c>
      <c r="BO58" s="175">
        <f t="shared" si="27"/>
        <v>25.6</v>
      </c>
      <c r="BP58" s="195">
        <v>21767</v>
      </c>
      <c r="BQ58" s="169"/>
    </row>
    <row r="59" spans="1:69" ht="25.5" customHeight="1" thickBot="1" x14ac:dyDescent="0.5">
      <c r="A59" s="416" t="s">
        <v>762</v>
      </c>
      <c r="B59" s="171" t="s">
        <v>718</v>
      </c>
      <c r="C59" s="171" t="s">
        <v>718</v>
      </c>
      <c r="D59" s="171" t="s">
        <v>26</v>
      </c>
      <c r="E59" s="171" t="s">
        <v>26</v>
      </c>
      <c r="F59" s="171" t="s">
        <v>26</v>
      </c>
      <c r="G59" s="171" t="s">
        <v>26</v>
      </c>
      <c r="H59" s="171" t="s">
        <v>26</v>
      </c>
      <c r="I59" s="171" t="s">
        <v>26</v>
      </c>
      <c r="J59" s="171" t="s">
        <v>26</v>
      </c>
      <c r="K59" s="171" t="s">
        <v>718</v>
      </c>
      <c r="L59" s="171" t="s">
        <v>718</v>
      </c>
      <c r="M59" s="171" t="s">
        <v>719</v>
      </c>
      <c r="N59" s="172"/>
      <c r="O59" s="172"/>
      <c r="P59" s="171"/>
      <c r="Q59" s="172"/>
      <c r="R59" s="172"/>
      <c r="S59" s="172"/>
      <c r="T59" s="171"/>
      <c r="U59" s="172"/>
      <c r="V59" s="172"/>
      <c r="W59" s="172"/>
      <c r="X59" s="171"/>
      <c r="Y59" s="172"/>
      <c r="Z59" s="172"/>
      <c r="AA59" s="172"/>
      <c r="AB59" s="172"/>
      <c r="AC59" s="171"/>
      <c r="AD59" s="172"/>
      <c r="AE59" s="171"/>
      <c r="AF59" s="173">
        <v>2.5099999999999998</v>
      </c>
      <c r="AG59" s="171" t="s">
        <v>718</v>
      </c>
      <c r="AH59" s="171" t="s">
        <v>718</v>
      </c>
      <c r="AI59" s="171" t="s">
        <v>26</v>
      </c>
      <c r="AJ59" s="171" t="s">
        <v>26</v>
      </c>
      <c r="AK59" s="171" t="s">
        <v>26</v>
      </c>
      <c r="AL59" s="171" t="s">
        <v>26</v>
      </c>
      <c r="AM59" s="171" t="s">
        <v>26</v>
      </c>
      <c r="AN59" s="171" t="s">
        <v>26</v>
      </c>
      <c r="AO59" s="171" t="s">
        <v>26</v>
      </c>
      <c r="AP59" s="171" t="s">
        <v>718</v>
      </c>
      <c r="AQ59" s="171" t="s">
        <v>718</v>
      </c>
      <c r="AR59" s="143" t="s">
        <v>719</v>
      </c>
      <c r="AS59" s="172"/>
      <c r="AT59" s="172"/>
      <c r="AU59" s="171"/>
      <c r="AV59" s="172"/>
      <c r="AW59" s="172"/>
      <c r="AX59" s="172"/>
      <c r="AY59" s="171"/>
      <c r="AZ59" s="172"/>
      <c r="BA59" s="172"/>
      <c r="BB59" s="172"/>
      <c r="BC59" s="171"/>
      <c r="BD59" s="172"/>
      <c r="BE59" s="172"/>
      <c r="BF59" s="172"/>
      <c r="BG59" s="172"/>
      <c r="BH59" s="171"/>
      <c r="BI59" s="172"/>
      <c r="BJ59" s="171"/>
      <c r="BK59" s="417">
        <v>3.03</v>
      </c>
      <c r="BL59" s="242" t="str">
        <f t="shared" si="24"/>
        <v>เพิ่มขึ้น</v>
      </c>
      <c r="BM59" s="143">
        <f t="shared" si="25"/>
        <v>1</v>
      </c>
      <c r="BN59" s="143">
        <f t="shared" si="26"/>
        <v>0</v>
      </c>
      <c r="BO59" s="175">
        <f t="shared" si="27"/>
        <v>10.4</v>
      </c>
      <c r="BP59" s="195">
        <v>21763</v>
      </c>
      <c r="BQ59" s="169"/>
    </row>
    <row r="60" spans="1:69" ht="21" customHeight="1" thickBot="1" x14ac:dyDescent="0.5">
      <c r="A60" s="416" t="s">
        <v>763</v>
      </c>
      <c r="B60" s="171" t="s">
        <v>718</v>
      </c>
      <c r="C60" s="171" t="s">
        <v>718</v>
      </c>
      <c r="D60" s="171" t="s">
        <v>26</v>
      </c>
      <c r="E60" s="171" t="s">
        <v>26</v>
      </c>
      <c r="F60" s="171" t="s">
        <v>26</v>
      </c>
      <c r="G60" s="171" t="s">
        <v>26</v>
      </c>
      <c r="H60" s="171" t="s">
        <v>26</v>
      </c>
      <c r="I60" s="171" t="s">
        <v>26</v>
      </c>
      <c r="J60" s="171" t="s">
        <v>26</v>
      </c>
      <c r="K60" s="171" t="s">
        <v>718</v>
      </c>
      <c r="L60" s="171" t="s">
        <v>718</v>
      </c>
      <c r="M60" s="171" t="s">
        <v>719</v>
      </c>
      <c r="N60" s="172"/>
      <c r="O60" s="172"/>
      <c r="P60" s="171"/>
      <c r="Q60" s="172"/>
      <c r="R60" s="172"/>
      <c r="S60" s="172"/>
      <c r="T60" s="171"/>
      <c r="U60" s="172"/>
      <c r="V60" s="172"/>
      <c r="W60" s="172"/>
      <c r="X60" s="171"/>
      <c r="Y60" s="172"/>
      <c r="Z60" s="172"/>
      <c r="AA60" s="172"/>
      <c r="AB60" s="172"/>
      <c r="AC60" s="171"/>
      <c r="AD60" s="172"/>
      <c r="AE60" s="171"/>
      <c r="AF60" s="173">
        <v>2.61</v>
      </c>
      <c r="AG60" s="171" t="s">
        <v>718</v>
      </c>
      <c r="AH60" s="171" t="s">
        <v>718</v>
      </c>
      <c r="AI60" s="171" t="s">
        <v>26</v>
      </c>
      <c r="AJ60" s="171" t="s">
        <v>26</v>
      </c>
      <c r="AK60" s="171" t="s">
        <v>26</v>
      </c>
      <c r="AL60" s="171" t="s">
        <v>26</v>
      </c>
      <c r="AM60" s="171" t="s">
        <v>26</v>
      </c>
      <c r="AN60" s="171" t="s">
        <v>26</v>
      </c>
      <c r="AO60" s="171" t="s">
        <v>26</v>
      </c>
      <c r="AP60" s="171" t="s">
        <v>718</v>
      </c>
      <c r="AQ60" s="171" t="s">
        <v>718</v>
      </c>
      <c r="AR60" s="143" t="s">
        <v>719</v>
      </c>
      <c r="AS60" s="172"/>
      <c r="AT60" s="172"/>
      <c r="AU60" s="171"/>
      <c r="AV60" s="172"/>
      <c r="AW60" s="172"/>
      <c r="AX60" s="172"/>
      <c r="AY60" s="171"/>
      <c r="AZ60" s="172"/>
      <c r="BA60" s="172"/>
      <c r="BB60" s="172"/>
      <c r="BC60" s="171"/>
      <c r="BD60" s="172"/>
      <c r="BE60" s="172"/>
      <c r="BF60" s="172"/>
      <c r="BG60" s="172"/>
      <c r="BH60" s="171"/>
      <c r="BI60" s="172"/>
      <c r="BJ60" s="171"/>
      <c r="BK60" s="417">
        <v>3.56</v>
      </c>
      <c r="BL60" s="147" t="str">
        <f t="shared" si="24"/>
        <v>เพิ่มขึ้น</v>
      </c>
      <c r="BM60" s="143">
        <f t="shared" si="25"/>
        <v>1</v>
      </c>
      <c r="BN60" s="143">
        <f t="shared" si="26"/>
        <v>0</v>
      </c>
      <c r="BO60" s="175">
        <f t="shared" si="27"/>
        <v>19.000000000000004</v>
      </c>
      <c r="BP60" s="195">
        <v>21764</v>
      </c>
      <c r="BQ60" s="169"/>
    </row>
    <row r="61" spans="1:69" ht="21" customHeight="1" thickBot="1" x14ac:dyDescent="0.5">
      <c r="A61" s="416" t="s">
        <v>764</v>
      </c>
      <c r="B61" s="171" t="s">
        <v>718</v>
      </c>
      <c r="C61" s="171" t="s">
        <v>718</v>
      </c>
      <c r="D61" s="171" t="s">
        <v>26</v>
      </c>
      <c r="E61" s="171" t="s">
        <v>26</v>
      </c>
      <c r="F61" s="171" t="s">
        <v>26</v>
      </c>
      <c r="G61" s="171" t="s">
        <v>26</v>
      </c>
      <c r="H61" s="171" t="s">
        <v>26</v>
      </c>
      <c r="I61" s="171" t="s">
        <v>26</v>
      </c>
      <c r="J61" s="171" t="s">
        <v>26</v>
      </c>
      <c r="K61" s="171" t="s">
        <v>718</v>
      </c>
      <c r="L61" s="171" t="s">
        <v>718</v>
      </c>
      <c r="M61" s="171" t="s">
        <v>719</v>
      </c>
      <c r="N61" s="172"/>
      <c r="O61" s="172"/>
      <c r="P61" s="171"/>
      <c r="Q61" s="172"/>
      <c r="R61" s="172"/>
      <c r="S61" s="172"/>
      <c r="T61" s="171"/>
      <c r="U61" s="172"/>
      <c r="V61" s="172"/>
      <c r="W61" s="172"/>
      <c r="X61" s="171"/>
      <c r="Y61" s="172"/>
      <c r="Z61" s="172"/>
      <c r="AA61" s="172"/>
      <c r="AB61" s="172"/>
      <c r="AC61" s="171"/>
      <c r="AD61" s="172"/>
      <c r="AE61" s="171"/>
      <c r="AF61" s="173">
        <v>3.11</v>
      </c>
      <c r="AG61" s="171" t="s">
        <v>718</v>
      </c>
      <c r="AH61" s="171" t="s">
        <v>718</v>
      </c>
      <c r="AI61" s="171" t="s">
        <v>26</v>
      </c>
      <c r="AJ61" s="171" t="s">
        <v>26</v>
      </c>
      <c r="AK61" s="171" t="s">
        <v>26</v>
      </c>
      <c r="AL61" s="171" t="s">
        <v>26</v>
      </c>
      <c r="AM61" s="171" t="s">
        <v>26</v>
      </c>
      <c r="AN61" s="171" t="s">
        <v>26</v>
      </c>
      <c r="AO61" s="171" t="s">
        <v>26</v>
      </c>
      <c r="AP61" s="171" t="s">
        <v>718</v>
      </c>
      <c r="AQ61" s="171" t="s">
        <v>718</v>
      </c>
      <c r="AR61" s="143" t="s">
        <v>719</v>
      </c>
      <c r="AS61" s="172"/>
      <c r="AT61" s="172"/>
      <c r="AU61" s="171"/>
      <c r="AV61" s="172"/>
      <c r="AW61" s="172"/>
      <c r="AX61" s="172"/>
      <c r="AY61" s="171"/>
      <c r="AZ61" s="172"/>
      <c r="BA61" s="172"/>
      <c r="BB61" s="172"/>
      <c r="BC61" s="171"/>
      <c r="BD61" s="172"/>
      <c r="BE61" s="172"/>
      <c r="BF61" s="172"/>
      <c r="BG61" s="172"/>
      <c r="BH61" s="171"/>
      <c r="BI61" s="172"/>
      <c r="BJ61" s="171"/>
      <c r="BK61" s="417">
        <v>3.46</v>
      </c>
      <c r="BL61" s="147" t="str">
        <f t="shared" si="24"/>
        <v>เพิ่มขึ้น</v>
      </c>
      <c r="BM61" s="143">
        <f t="shared" si="25"/>
        <v>1</v>
      </c>
      <c r="BN61" s="143">
        <f t="shared" si="26"/>
        <v>0</v>
      </c>
      <c r="BO61" s="175">
        <f t="shared" si="27"/>
        <v>7.0000000000000018</v>
      </c>
      <c r="BP61" s="195">
        <v>21763</v>
      </c>
      <c r="BQ61" s="169"/>
    </row>
    <row r="62" spans="1:69" ht="23.25" customHeight="1" thickBot="1" x14ac:dyDescent="0.5">
      <c r="A62" s="416" t="s">
        <v>765</v>
      </c>
      <c r="B62" s="171" t="s">
        <v>718</v>
      </c>
      <c r="C62" s="171" t="s">
        <v>718</v>
      </c>
      <c r="D62" s="171" t="s">
        <v>26</v>
      </c>
      <c r="E62" s="171" t="s">
        <v>26</v>
      </c>
      <c r="F62" s="171" t="s">
        <v>26</v>
      </c>
      <c r="G62" s="171" t="s">
        <v>26</v>
      </c>
      <c r="H62" s="171" t="s">
        <v>26</v>
      </c>
      <c r="I62" s="171" t="s">
        <v>26</v>
      </c>
      <c r="J62" s="171" t="s">
        <v>26</v>
      </c>
      <c r="K62" s="171" t="s">
        <v>718</v>
      </c>
      <c r="L62" s="171" t="s">
        <v>718</v>
      </c>
      <c r="M62" s="171" t="s">
        <v>719</v>
      </c>
      <c r="N62" s="172"/>
      <c r="O62" s="172"/>
      <c r="P62" s="171"/>
      <c r="Q62" s="172"/>
      <c r="R62" s="172"/>
      <c r="S62" s="172"/>
      <c r="T62" s="171"/>
      <c r="U62" s="172"/>
      <c r="V62" s="172"/>
      <c r="W62" s="172"/>
      <c r="X62" s="171"/>
      <c r="Y62" s="172"/>
      <c r="Z62" s="172"/>
      <c r="AA62" s="172"/>
      <c r="AB62" s="172"/>
      <c r="AC62" s="171"/>
      <c r="AD62" s="172"/>
      <c r="AE62" s="171"/>
      <c r="AF62" s="173">
        <v>2.3199999999999998</v>
      </c>
      <c r="AG62" s="171" t="s">
        <v>718</v>
      </c>
      <c r="AH62" s="171" t="s">
        <v>718</v>
      </c>
      <c r="AI62" s="171" t="s">
        <v>26</v>
      </c>
      <c r="AJ62" s="171" t="s">
        <v>26</v>
      </c>
      <c r="AK62" s="171" t="s">
        <v>26</v>
      </c>
      <c r="AL62" s="171" t="s">
        <v>26</v>
      </c>
      <c r="AM62" s="171" t="s">
        <v>26</v>
      </c>
      <c r="AN62" s="171" t="s">
        <v>26</v>
      </c>
      <c r="AO62" s="171" t="s">
        <v>26</v>
      </c>
      <c r="AP62" s="171" t="s">
        <v>718</v>
      </c>
      <c r="AQ62" s="171" t="s">
        <v>718</v>
      </c>
      <c r="AR62" s="143" t="s">
        <v>719</v>
      </c>
      <c r="AS62" s="172"/>
      <c r="AT62" s="172"/>
      <c r="AU62" s="171"/>
      <c r="AV62" s="172"/>
      <c r="AW62" s="172"/>
      <c r="AX62" s="172"/>
      <c r="AY62" s="171"/>
      <c r="AZ62" s="172"/>
      <c r="BA62" s="172"/>
      <c r="BB62" s="172"/>
      <c r="BC62" s="171"/>
      <c r="BD62" s="172"/>
      <c r="BE62" s="172"/>
      <c r="BF62" s="172"/>
      <c r="BG62" s="172"/>
      <c r="BH62" s="171"/>
      <c r="BI62" s="172"/>
      <c r="BJ62" s="171"/>
      <c r="BK62" s="417">
        <v>3.34</v>
      </c>
      <c r="BL62" s="147" t="str">
        <f t="shared" si="24"/>
        <v>เพิ่มขึ้น</v>
      </c>
      <c r="BM62" s="143">
        <f t="shared" si="25"/>
        <v>1</v>
      </c>
      <c r="BN62" s="143">
        <f t="shared" si="26"/>
        <v>0</v>
      </c>
      <c r="BO62" s="175">
        <f t="shared" si="27"/>
        <v>20.400000000000002</v>
      </c>
      <c r="BP62" s="195">
        <v>21766</v>
      </c>
      <c r="BQ62" s="169"/>
    </row>
    <row r="63" spans="1:69" ht="21" customHeight="1" thickBot="1" x14ac:dyDescent="0.5">
      <c r="A63" s="416" t="s">
        <v>766</v>
      </c>
      <c r="B63" s="171" t="s">
        <v>718</v>
      </c>
      <c r="C63" s="171" t="s">
        <v>718</v>
      </c>
      <c r="D63" s="171" t="s">
        <v>26</v>
      </c>
      <c r="E63" s="171" t="s">
        <v>26</v>
      </c>
      <c r="F63" s="171" t="s">
        <v>26</v>
      </c>
      <c r="G63" s="171" t="s">
        <v>26</v>
      </c>
      <c r="H63" s="171" t="s">
        <v>26</v>
      </c>
      <c r="I63" s="171" t="s">
        <v>26</v>
      </c>
      <c r="J63" s="171" t="s">
        <v>26</v>
      </c>
      <c r="K63" s="171" t="s">
        <v>718</v>
      </c>
      <c r="L63" s="171" t="s">
        <v>718</v>
      </c>
      <c r="M63" s="171" t="s">
        <v>719</v>
      </c>
      <c r="N63" s="172"/>
      <c r="O63" s="172"/>
      <c r="P63" s="171"/>
      <c r="Q63" s="172"/>
      <c r="R63" s="172"/>
      <c r="S63" s="172"/>
      <c r="T63" s="171"/>
      <c r="U63" s="172"/>
      <c r="V63" s="172"/>
      <c r="W63" s="172"/>
      <c r="X63" s="171"/>
      <c r="Y63" s="172"/>
      <c r="Z63" s="172"/>
      <c r="AA63" s="172"/>
      <c r="AB63" s="172"/>
      <c r="AC63" s="171"/>
      <c r="AD63" s="172"/>
      <c r="AE63" s="171"/>
      <c r="AF63" s="173">
        <v>2.9</v>
      </c>
      <c r="AG63" s="171" t="s">
        <v>718</v>
      </c>
      <c r="AH63" s="171" t="s">
        <v>718</v>
      </c>
      <c r="AI63" s="171" t="s">
        <v>26</v>
      </c>
      <c r="AJ63" s="171" t="s">
        <v>26</v>
      </c>
      <c r="AK63" s="171" t="s">
        <v>26</v>
      </c>
      <c r="AL63" s="171" t="s">
        <v>26</v>
      </c>
      <c r="AM63" s="171" t="s">
        <v>26</v>
      </c>
      <c r="AN63" s="171" t="s">
        <v>26</v>
      </c>
      <c r="AO63" s="171" t="s">
        <v>26</v>
      </c>
      <c r="AP63" s="171" t="s">
        <v>718</v>
      </c>
      <c r="AQ63" s="171" t="s">
        <v>718</v>
      </c>
      <c r="AR63" s="143" t="s">
        <v>719</v>
      </c>
      <c r="AS63" s="172"/>
      <c r="AT63" s="172"/>
      <c r="AU63" s="171"/>
      <c r="AV63" s="172"/>
      <c r="AW63" s="172"/>
      <c r="AX63" s="172"/>
      <c r="AY63" s="171"/>
      <c r="AZ63" s="172"/>
      <c r="BA63" s="172"/>
      <c r="BB63" s="172"/>
      <c r="BC63" s="171"/>
      <c r="BD63" s="172"/>
      <c r="BE63" s="172"/>
      <c r="BF63" s="172"/>
      <c r="BG63" s="172"/>
      <c r="BH63" s="171"/>
      <c r="BI63" s="172"/>
      <c r="BJ63" s="171"/>
      <c r="BK63" s="417">
        <v>3.33</v>
      </c>
      <c r="BL63" s="147" t="str">
        <f t="shared" si="24"/>
        <v>เพิ่มขึ้น</v>
      </c>
      <c r="BM63" s="143">
        <f t="shared" si="25"/>
        <v>1</v>
      </c>
      <c r="BN63" s="143">
        <f t="shared" si="26"/>
        <v>0</v>
      </c>
      <c r="BO63" s="175">
        <f t="shared" si="27"/>
        <v>8.6000000000000032</v>
      </c>
      <c r="BP63" s="195">
        <v>21767</v>
      </c>
      <c r="BQ63" s="169"/>
    </row>
    <row r="64" spans="1:69" ht="22.5" customHeight="1" thickBot="1" x14ac:dyDescent="0.5">
      <c r="A64" s="416" t="s">
        <v>767</v>
      </c>
      <c r="B64" s="171" t="s">
        <v>718</v>
      </c>
      <c r="C64" s="171" t="s">
        <v>718</v>
      </c>
      <c r="D64" s="171" t="s">
        <v>26</v>
      </c>
      <c r="E64" s="171" t="s">
        <v>26</v>
      </c>
      <c r="F64" s="171" t="s">
        <v>26</v>
      </c>
      <c r="G64" s="171" t="s">
        <v>26</v>
      </c>
      <c r="H64" s="171" t="s">
        <v>26</v>
      </c>
      <c r="I64" s="171" t="s">
        <v>26</v>
      </c>
      <c r="J64" s="171" t="s">
        <v>26</v>
      </c>
      <c r="K64" s="171" t="s">
        <v>718</v>
      </c>
      <c r="L64" s="171" t="s">
        <v>718</v>
      </c>
      <c r="M64" s="171" t="s">
        <v>719</v>
      </c>
      <c r="N64" s="172"/>
      <c r="O64" s="172"/>
      <c r="P64" s="171"/>
      <c r="Q64" s="172"/>
      <c r="R64" s="172"/>
      <c r="S64" s="172"/>
      <c r="T64" s="171"/>
      <c r="U64" s="172"/>
      <c r="V64" s="172"/>
      <c r="W64" s="172"/>
      <c r="X64" s="171"/>
      <c r="Y64" s="172"/>
      <c r="Z64" s="172"/>
      <c r="AA64" s="172"/>
      <c r="AB64" s="172"/>
      <c r="AC64" s="171"/>
      <c r="AD64" s="172"/>
      <c r="AE64" s="171"/>
      <c r="AF64" s="173">
        <v>2.29</v>
      </c>
      <c r="AG64" s="171" t="s">
        <v>718</v>
      </c>
      <c r="AH64" s="171" t="s">
        <v>718</v>
      </c>
      <c r="AI64" s="171" t="s">
        <v>26</v>
      </c>
      <c r="AJ64" s="171" t="s">
        <v>26</v>
      </c>
      <c r="AK64" s="171" t="s">
        <v>26</v>
      </c>
      <c r="AL64" s="171" t="s">
        <v>26</v>
      </c>
      <c r="AM64" s="171" t="s">
        <v>26</v>
      </c>
      <c r="AN64" s="171" t="s">
        <v>26</v>
      </c>
      <c r="AO64" s="171" t="s">
        <v>26</v>
      </c>
      <c r="AP64" s="171" t="s">
        <v>718</v>
      </c>
      <c r="AQ64" s="171" t="s">
        <v>718</v>
      </c>
      <c r="AR64" s="143" t="s">
        <v>719</v>
      </c>
      <c r="AS64" s="172"/>
      <c r="AT64" s="172"/>
      <c r="AU64" s="171"/>
      <c r="AV64" s="172"/>
      <c r="AW64" s="172"/>
      <c r="AX64" s="172"/>
      <c r="AY64" s="171"/>
      <c r="AZ64" s="172"/>
      <c r="BA64" s="172"/>
      <c r="BB64" s="172"/>
      <c r="BC64" s="171"/>
      <c r="BD64" s="172"/>
      <c r="BE64" s="172"/>
      <c r="BF64" s="172"/>
      <c r="BG64" s="172"/>
      <c r="BH64" s="171"/>
      <c r="BI64" s="172"/>
      <c r="BJ64" s="171"/>
      <c r="BK64" s="417">
        <v>3.2</v>
      </c>
      <c r="BL64" s="147" t="str">
        <f t="shared" si="24"/>
        <v>เพิ่มขึ้น</v>
      </c>
      <c r="BM64" s="143">
        <f t="shared" si="25"/>
        <v>1</v>
      </c>
      <c r="BN64" s="143">
        <f t="shared" si="26"/>
        <v>0</v>
      </c>
      <c r="BO64" s="175">
        <f t="shared" si="27"/>
        <v>18.200000000000003</v>
      </c>
      <c r="BP64" s="195">
        <v>21767</v>
      </c>
      <c r="BQ64" s="169"/>
    </row>
    <row r="65" spans="1:69" ht="18" customHeight="1" thickBot="1" x14ac:dyDescent="0.5">
      <c r="A65" s="416" t="s">
        <v>768</v>
      </c>
      <c r="B65" s="171" t="s">
        <v>718</v>
      </c>
      <c r="C65" s="171" t="s">
        <v>718</v>
      </c>
      <c r="D65" s="171" t="s">
        <v>26</v>
      </c>
      <c r="E65" s="171" t="s">
        <v>26</v>
      </c>
      <c r="F65" s="171" t="s">
        <v>26</v>
      </c>
      <c r="G65" s="171" t="s">
        <v>26</v>
      </c>
      <c r="H65" s="171" t="s">
        <v>26</v>
      </c>
      <c r="I65" s="171" t="s">
        <v>26</v>
      </c>
      <c r="J65" s="171" t="s">
        <v>26</v>
      </c>
      <c r="K65" s="171" t="s">
        <v>718</v>
      </c>
      <c r="L65" s="171" t="s">
        <v>718</v>
      </c>
      <c r="M65" s="171" t="s">
        <v>719</v>
      </c>
      <c r="N65" s="172"/>
      <c r="O65" s="172"/>
      <c r="P65" s="171"/>
      <c r="Q65" s="172"/>
      <c r="R65" s="172"/>
      <c r="S65" s="172"/>
      <c r="T65" s="171"/>
      <c r="U65" s="172"/>
      <c r="V65" s="172"/>
      <c r="W65" s="172"/>
      <c r="X65" s="171"/>
      <c r="Y65" s="172"/>
      <c r="Z65" s="172"/>
      <c r="AA65" s="172"/>
      <c r="AB65" s="172"/>
      <c r="AC65" s="171"/>
      <c r="AD65" s="172"/>
      <c r="AE65" s="171"/>
      <c r="AF65" s="173">
        <v>3.13</v>
      </c>
      <c r="AG65" s="171" t="s">
        <v>718</v>
      </c>
      <c r="AH65" s="171" t="s">
        <v>718</v>
      </c>
      <c r="AI65" s="171" t="s">
        <v>26</v>
      </c>
      <c r="AJ65" s="171" t="s">
        <v>26</v>
      </c>
      <c r="AK65" s="171" t="s">
        <v>26</v>
      </c>
      <c r="AL65" s="171" t="s">
        <v>26</v>
      </c>
      <c r="AM65" s="171" t="s">
        <v>26</v>
      </c>
      <c r="AN65" s="171" t="s">
        <v>26</v>
      </c>
      <c r="AO65" s="171" t="s">
        <v>26</v>
      </c>
      <c r="AP65" s="171" t="s">
        <v>718</v>
      </c>
      <c r="AQ65" s="171" t="s">
        <v>718</v>
      </c>
      <c r="AR65" s="143" t="s">
        <v>719</v>
      </c>
      <c r="AS65" s="172"/>
      <c r="AT65" s="172"/>
      <c r="AU65" s="171"/>
      <c r="AV65" s="172"/>
      <c r="AW65" s="172"/>
      <c r="AX65" s="172"/>
      <c r="AY65" s="171"/>
      <c r="AZ65" s="172"/>
      <c r="BA65" s="172"/>
      <c r="BB65" s="172"/>
      <c r="BC65" s="171"/>
      <c r="BD65" s="172"/>
      <c r="BE65" s="172"/>
      <c r="BF65" s="172"/>
      <c r="BG65" s="172"/>
      <c r="BH65" s="171"/>
      <c r="BI65" s="172"/>
      <c r="BJ65" s="171"/>
      <c r="BK65" s="417">
        <v>3.55</v>
      </c>
      <c r="BL65" s="242" t="str">
        <f t="shared" si="24"/>
        <v>เพิ่มขึ้น</v>
      </c>
      <c r="BM65" s="143">
        <f t="shared" si="25"/>
        <v>1</v>
      </c>
      <c r="BN65" s="143">
        <f t="shared" si="26"/>
        <v>0</v>
      </c>
      <c r="BO65" s="175">
        <f t="shared" si="27"/>
        <v>8.3999999999999986</v>
      </c>
      <c r="BP65" s="195">
        <v>21765</v>
      </c>
      <c r="BQ65" s="169"/>
    </row>
    <row r="66" spans="1:69" ht="23.25" thickBot="1" x14ac:dyDescent="0.5">
      <c r="A66" s="491" t="s">
        <v>770</v>
      </c>
      <c r="B66" s="491"/>
      <c r="C66" s="491"/>
      <c r="D66" s="491"/>
      <c r="E66" s="491"/>
      <c r="F66" s="491"/>
      <c r="G66" s="491"/>
      <c r="H66" s="491"/>
      <c r="I66" s="491"/>
      <c r="J66" s="491"/>
      <c r="K66" s="491"/>
      <c r="L66" s="491"/>
      <c r="M66" s="491"/>
      <c r="N66" s="425"/>
      <c r="O66" s="425"/>
      <c r="P66" s="426"/>
      <c r="Q66" s="425"/>
      <c r="R66" s="425"/>
      <c r="S66" s="425"/>
      <c r="T66" s="426"/>
      <c r="U66" s="425"/>
      <c r="V66" s="425"/>
      <c r="W66" s="425"/>
      <c r="X66" s="426"/>
      <c r="Y66" s="425"/>
      <c r="Z66" s="425"/>
      <c r="AA66" s="425"/>
      <c r="AB66" s="425"/>
      <c r="AC66" s="426"/>
      <c r="AD66" s="425"/>
      <c r="AE66" s="426"/>
      <c r="AF66" s="427" t="e">
        <f>SUM(AF57:AF65,#REF!)/10</f>
        <v>#REF!</v>
      </c>
      <c r="AG66" s="427"/>
      <c r="AH66" s="427"/>
      <c r="AI66" s="427"/>
      <c r="AJ66" s="427"/>
      <c r="AK66" s="427"/>
      <c r="AL66" s="427"/>
      <c r="AM66" s="427"/>
      <c r="AN66" s="427"/>
      <c r="AO66" s="427"/>
      <c r="AP66" s="427"/>
      <c r="AQ66" s="427"/>
      <c r="AR66" s="427"/>
      <c r="AS66" s="425"/>
      <c r="AT66" s="425"/>
      <c r="AU66" s="426"/>
      <c r="AV66" s="425"/>
      <c r="AW66" s="425"/>
      <c r="AX66" s="425"/>
      <c r="AY66" s="426"/>
      <c r="AZ66" s="425"/>
      <c r="BA66" s="425"/>
      <c r="BB66" s="425"/>
      <c r="BC66" s="426"/>
      <c r="BD66" s="425"/>
      <c r="BE66" s="425"/>
      <c r="BF66" s="425"/>
      <c r="BG66" s="425"/>
      <c r="BH66" s="426"/>
      <c r="BI66" s="425"/>
      <c r="BJ66" s="426"/>
      <c r="BK66" s="427">
        <v>3.32</v>
      </c>
      <c r="BL66" s="243" t="e">
        <f t="shared" ref="BL66" si="28">IF(AF66="ไม่ประเมิน","คงที่",IF(AF66&lt;BK66,"เพิ่มขึ้น",IF(AF66&gt;BK66,"ลดลง",IF(AF66=BK66,"คงที่",""))))</f>
        <v>#REF!</v>
      </c>
      <c r="BM66" s="198"/>
      <c r="BN66" s="198"/>
      <c r="BO66" s="184"/>
      <c r="BP66" s="199"/>
      <c r="BQ66" s="161"/>
    </row>
    <row r="67" spans="1:69" ht="23.25" thickBot="1" x14ac:dyDescent="0.5">
      <c r="A67" s="185" t="s">
        <v>771</v>
      </c>
      <c r="B67" s="160"/>
      <c r="C67" s="160"/>
      <c r="D67" s="160"/>
      <c r="E67" s="160"/>
      <c r="F67" s="160"/>
      <c r="G67" s="160"/>
      <c r="H67" s="160"/>
      <c r="I67" s="160"/>
      <c r="J67" s="160"/>
      <c r="K67" s="160"/>
      <c r="L67" s="160"/>
      <c r="M67" s="160"/>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9"/>
      <c r="BL67" s="160"/>
      <c r="BM67" s="160"/>
      <c r="BN67" s="160"/>
      <c r="BO67" s="186"/>
      <c r="BP67" s="208"/>
      <c r="BQ67" s="161"/>
    </row>
    <row r="68" spans="1:69" ht="23.25" thickBot="1" x14ac:dyDescent="0.5">
      <c r="A68" s="418" t="s">
        <v>716</v>
      </c>
      <c r="B68" s="419"/>
      <c r="C68" s="419"/>
      <c r="D68" s="419"/>
      <c r="E68" s="419"/>
      <c r="F68" s="419"/>
      <c r="G68" s="419"/>
      <c r="H68" s="419"/>
      <c r="I68" s="419"/>
      <c r="J68" s="419"/>
      <c r="K68" s="419"/>
      <c r="L68" s="419"/>
      <c r="M68" s="419"/>
      <c r="N68" s="420"/>
      <c r="O68" s="420"/>
      <c r="P68" s="419"/>
      <c r="Q68" s="420"/>
      <c r="R68" s="420"/>
      <c r="S68" s="420"/>
      <c r="T68" s="419"/>
      <c r="U68" s="420"/>
      <c r="V68" s="420"/>
      <c r="W68" s="420"/>
      <c r="X68" s="419"/>
      <c r="Y68" s="420"/>
      <c r="Z68" s="420"/>
      <c r="AA68" s="420"/>
      <c r="AB68" s="420"/>
      <c r="AC68" s="419"/>
      <c r="AD68" s="420"/>
      <c r="AE68" s="419"/>
      <c r="AF68" s="419"/>
      <c r="AG68" s="419"/>
      <c r="AH68" s="419"/>
      <c r="AI68" s="419"/>
      <c r="AJ68" s="419"/>
      <c r="AK68" s="419"/>
      <c r="AL68" s="419"/>
      <c r="AM68" s="419"/>
      <c r="AN68" s="419"/>
      <c r="AO68" s="419"/>
      <c r="AP68" s="419"/>
      <c r="AQ68" s="419"/>
      <c r="AR68" s="419"/>
      <c r="AS68" s="420"/>
      <c r="AT68" s="420"/>
      <c r="AU68" s="419"/>
      <c r="AV68" s="420"/>
      <c r="AW68" s="420"/>
      <c r="AX68" s="420"/>
      <c r="AY68" s="419"/>
      <c r="AZ68" s="420"/>
      <c r="BA68" s="420"/>
      <c r="BB68" s="420"/>
      <c r="BC68" s="419"/>
      <c r="BD68" s="420"/>
      <c r="BE68" s="420"/>
      <c r="BF68" s="420"/>
      <c r="BG68" s="420"/>
      <c r="BH68" s="419"/>
      <c r="BI68" s="420"/>
      <c r="BJ68" s="419"/>
      <c r="BK68" s="421"/>
      <c r="BL68" s="162"/>
      <c r="BM68" s="162"/>
      <c r="BN68" s="162"/>
      <c r="BO68" s="163"/>
      <c r="BP68" s="194"/>
      <c r="BQ68" s="161"/>
    </row>
    <row r="69" spans="1:69" ht="22.5" customHeight="1" thickBot="1" x14ac:dyDescent="0.5">
      <c r="A69" s="416" t="s">
        <v>772</v>
      </c>
      <c r="B69" s="211" t="s">
        <v>773</v>
      </c>
      <c r="C69" s="212" t="s">
        <v>718</v>
      </c>
      <c r="D69" s="212" t="s">
        <v>26</v>
      </c>
      <c r="E69" s="212" t="s">
        <v>26</v>
      </c>
      <c r="F69" s="212" t="s">
        <v>26</v>
      </c>
      <c r="G69" s="212" t="s">
        <v>26</v>
      </c>
      <c r="H69" s="212" t="s">
        <v>26</v>
      </c>
      <c r="I69" s="212" t="s">
        <v>26</v>
      </c>
      <c r="J69" s="212" t="s">
        <v>26</v>
      </c>
      <c r="K69" s="212" t="s">
        <v>718</v>
      </c>
      <c r="L69" s="212" t="s">
        <v>718</v>
      </c>
      <c r="M69" s="212" t="s">
        <v>769</v>
      </c>
      <c r="N69" s="212"/>
      <c r="O69" s="212"/>
      <c r="P69" s="212"/>
      <c r="Q69" s="212"/>
      <c r="R69" s="212"/>
      <c r="S69" s="212"/>
      <c r="T69" s="212"/>
      <c r="U69" s="212"/>
      <c r="V69" s="212"/>
      <c r="W69" s="212"/>
      <c r="X69" s="212"/>
      <c r="Y69" s="212"/>
      <c r="Z69" s="212"/>
      <c r="AA69" s="212"/>
      <c r="AB69" s="212"/>
      <c r="AC69" s="212"/>
      <c r="AD69" s="212"/>
      <c r="AE69" s="212"/>
      <c r="AF69" s="221">
        <v>0</v>
      </c>
      <c r="AG69" s="211" t="s">
        <v>773</v>
      </c>
      <c r="AH69" s="212" t="s">
        <v>718</v>
      </c>
      <c r="AI69" s="212" t="s">
        <v>26</v>
      </c>
      <c r="AJ69" s="212" t="s">
        <v>26</v>
      </c>
      <c r="AK69" s="212" t="s">
        <v>26</v>
      </c>
      <c r="AL69" s="212" t="s">
        <v>26</v>
      </c>
      <c r="AM69" s="212" t="s">
        <v>26</v>
      </c>
      <c r="AN69" s="212" t="s">
        <v>26</v>
      </c>
      <c r="AO69" s="212" t="s">
        <v>26</v>
      </c>
      <c r="AP69" s="212" t="s">
        <v>718</v>
      </c>
      <c r="AQ69" s="212" t="s">
        <v>718</v>
      </c>
      <c r="AR69" s="143" t="s">
        <v>719</v>
      </c>
      <c r="AS69" s="213"/>
      <c r="AT69" s="213"/>
      <c r="AU69" s="214"/>
      <c r="AV69" s="213"/>
      <c r="AW69" s="213"/>
      <c r="AX69" s="213"/>
      <c r="AY69" s="214"/>
      <c r="AZ69" s="213"/>
      <c r="BA69" s="213"/>
      <c r="BB69" s="213"/>
      <c r="BC69" s="214"/>
      <c r="BD69" s="213"/>
      <c r="BE69" s="213"/>
      <c r="BF69" s="213"/>
      <c r="BG69" s="213"/>
      <c r="BH69" s="214"/>
      <c r="BI69" s="213"/>
      <c r="BJ69" s="214"/>
      <c r="BK69" s="417">
        <v>3.29</v>
      </c>
      <c r="BL69" s="147" t="str">
        <f t="shared" ref="BL69:BL80" si="29">IF(AF69="ไม่ประเมิน","คงที่",IF(AF69&lt;BK69,"เพิ่มขึ้น",IF(AF69&gt;BK69,"ลดลง",IF(AF69=BK69,"คงที่",""))))</f>
        <v>เพิ่มขึ้น</v>
      </c>
      <c r="BM69" s="143">
        <f t="shared" ref="BM69:BM79" si="30">IF(BL69="-","",IF(BL69="เพิ่มขึ้น",1,IF(BL69="ลดลง",0)))</f>
        <v>1</v>
      </c>
      <c r="BN69" s="143">
        <f t="shared" ref="BN69:BN79" si="31">IF(BL69="-","",IF(BL69="เพิ่มขึ้น",0,IF(BL69="ลดลง",1)))</f>
        <v>0</v>
      </c>
      <c r="BO69" s="175">
        <f t="shared" ref="BO69:BO79" si="32">SUM(BK69-AF69)/5*100</f>
        <v>65.8</v>
      </c>
      <c r="BP69" s="195">
        <v>21765</v>
      </c>
      <c r="BQ69" s="169"/>
    </row>
    <row r="70" spans="1:69" ht="22.5" customHeight="1" thickBot="1" x14ac:dyDescent="0.5">
      <c r="A70" s="416" t="s">
        <v>774</v>
      </c>
      <c r="B70" s="171" t="s">
        <v>718</v>
      </c>
      <c r="C70" s="171" t="s">
        <v>718</v>
      </c>
      <c r="D70" s="171" t="s">
        <v>26</v>
      </c>
      <c r="E70" s="171" t="s">
        <v>26</v>
      </c>
      <c r="F70" s="171" t="s">
        <v>26</v>
      </c>
      <c r="G70" s="171" t="s">
        <v>26</v>
      </c>
      <c r="H70" s="171" t="s">
        <v>26</v>
      </c>
      <c r="I70" s="171" t="s">
        <v>26</v>
      </c>
      <c r="J70" s="171" t="s">
        <v>26</v>
      </c>
      <c r="K70" s="171" t="s">
        <v>718</v>
      </c>
      <c r="L70" s="171" t="s">
        <v>718</v>
      </c>
      <c r="M70" s="171" t="s">
        <v>719</v>
      </c>
      <c r="N70" s="172"/>
      <c r="O70" s="172"/>
      <c r="P70" s="171"/>
      <c r="Q70" s="172"/>
      <c r="R70" s="172"/>
      <c r="S70" s="172"/>
      <c r="T70" s="171"/>
      <c r="U70" s="172"/>
      <c r="V70" s="172"/>
      <c r="W70" s="172"/>
      <c r="X70" s="171"/>
      <c r="Y70" s="172"/>
      <c r="Z70" s="172"/>
      <c r="AA70" s="172"/>
      <c r="AB70" s="172"/>
      <c r="AC70" s="171"/>
      <c r="AD70" s="172"/>
      <c r="AE70" s="171"/>
      <c r="AF70" s="173">
        <v>1.63</v>
      </c>
      <c r="AG70" s="171" t="s">
        <v>718</v>
      </c>
      <c r="AH70" s="171" t="s">
        <v>718</v>
      </c>
      <c r="AI70" s="171" t="s">
        <v>26</v>
      </c>
      <c r="AJ70" s="171" t="s">
        <v>26</v>
      </c>
      <c r="AK70" s="171" t="s">
        <v>26</v>
      </c>
      <c r="AL70" s="171" t="s">
        <v>26</v>
      </c>
      <c r="AM70" s="171" t="s">
        <v>26</v>
      </c>
      <c r="AN70" s="171" t="s">
        <v>26</v>
      </c>
      <c r="AO70" s="171" t="s">
        <v>26</v>
      </c>
      <c r="AP70" s="171" t="s">
        <v>718</v>
      </c>
      <c r="AQ70" s="171" t="s">
        <v>718</v>
      </c>
      <c r="AR70" s="143" t="s">
        <v>719</v>
      </c>
      <c r="AS70" s="172"/>
      <c r="AT70" s="172"/>
      <c r="AU70" s="171"/>
      <c r="AV70" s="172"/>
      <c r="AW70" s="172"/>
      <c r="AX70" s="172"/>
      <c r="AY70" s="171"/>
      <c r="AZ70" s="172"/>
      <c r="BA70" s="172"/>
      <c r="BB70" s="172"/>
      <c r="BC70" s="171"/>
      <c r="BD70" s="172"/>
      <c r="BE70" s="172"/>
      <c r="BF70" s="172"/>
      <c r="BG70" s="172"/>
      <c r="BH70" s="171"/>
      <c r="BI70" s="172"/>
      <c r="BJ70" s="171"/>
      <c r="BK70" s="417">
        <v>3.24</v>
      </c>
      <c r="BL70" s="147" t="str">
        <f t="shared" si="29"/>
        <v>เพิ่มขึ้น</v>
      </c>
      <c r="BM70" s="143">
        <f t="shared" si="30"/>
        <v>1</v>
      </c>
      <c r="BN70" s="143">
        <f t="shared" si="31"/>
        <v>0</v>
      </c>
      <c r="BO70" s="175">
        <f t="shared" si="32"/>
        <v>32.200000000000003</v>
      </c>
      <c r="BP70" s="195">
        <v>21765</v>
      </c>
      <c r="BQ70" s="169"/>
    </row>
    <row r="71" spans="1:69" ht="21" customHeight="1" thickBot="1" x14ac:dyDescent="0.5">
      <c r="A71" s="416" t="s">
        <v>775</v>
      </c>
      <c r="B71" s="171" t="s">
        <v>718</v>
      </c>
      <c r="C71" s="171" t="s">
        <v>718</v>
      </c>
      <c r="D71" s="171" t="s">
        <v>26</v>
      </c>
      <c r="E71" s="171" t="s">
        <v>26</v>
      </c>
      <c r="F71" s="171" t="s">
        <v>26</v>
      </c>
      <c r="G71" s="171" t="s">
        <v>26</v>
      </c>
      <c r="H71" s="171" t="s">
        <v>26</v>
      </c>
      <c r="I71" s="171" t="s">
        <v>26</v>
      </c>
      <c r="J71" s="171" t="s">
        <v>26</v>
      </c>
      <c r="K71" s="171" t="s">
        <v>718</v>
      </c>
      <c r="L71" s="171" t="s">
        <v>718</v>
      </c>
      <c r="M71" s="171" t="s">
        <v>719</v>
      </c>
      <c r="N71" s="172"/>
      <c r="O71" s="172"/>
      <c r="P71" s="171"/>
      <c r="Q71" s="172"/>
      <c r="R71" s="172"/>
      <c r="S71" s="172"/>
      <c r="T71" s="171"/>
      <c r="U71" s="172"/>
      <c r="V71" s="172"/>
      <c r="W71" s="172"/>
      <c r="X71" s="171"/>
      <c r="Y71" s="172"/>
      <c r="Z71" s="172"/>
      <c r="AA71" s="172"/>
      <c r="AB71" s="172"/>
      <c r="AC71" s="171"/>
      <c r="AD71" s="172"/>
      <c r="AE71" s="171"/>
      <c r="AF71" s="173">
        <v>2.2000000000000002</v>
      </c>
      <c r="AG71" s="171" t="s">
        <v>718</v>
      </c>
      <c r="AH71" s="171" t="s">
        <v>718</v>
      </c>
      <c r="AI71" s="171" t="s">
        <v>26</v>
      </c>
      <c r="AJ71" s="171" t="s">
        <v>26</v>
      </c>
      <c r="AK71" s="171" t="s">
        <v>26</v>
      </c>
      <c r="AL71" s="171" t="s">
        <v>26</v>
      </c>
      <c r="AM71" s="171" t="s">
        <v>26</v>
      </c>
      <c r="AN71" s="171" t="s">
        <v>26</v>
      </c>
      <c r="AO71" s="171" t="s">
        <v>26</v>
      </c>
      <c r="AP71" s="171" t="s">
        <v>718</v>
      </c>
      <c r="AQ71" s="171" t="s">
        <v>718</v>
      </c>
      <c r="AR71" s="143" t="s">
        <v>719</v>
      </c>
      <c r="AS71" s="172"/>
      <c r="AT71" s="172"/>
      <c r="AU71" s="171"/>
      <c r="AV71" s="172"/>
      <c r="AW71" s="172"/>
      <c r="AX71" s="172"/>
      <c r="AY71" s="171"/>
      <c r="AZ71" s="172"/>
      <c r="BA71" s="172"/>
      <c r="BB71" s="172"/>
      <c r="BC71" s="171"/>
      <c r="BD71" s="172"/>
      <c r="BE71" s="172"/>
      <c r="BF71" s="172"/>
      <c r="BG71" s="172"/>
      <c r="BH71" s="171"/>
      <c r="BI71" s="172"/>
      <c r="BJ71" s="171"/>
      <c r="BK71" s="417">
        <v>3.33</v>
      </c>
      <c r="BL71" s="147" t="str">
        <f t="shared" si="29"/>
        <v>เพิ่มขึ้น</v>
      </c>
      <c r="BM71" s="143">
        <f t="shared" si="30"/>
        <v>1</v>
      </c>
      <c r="BN71" s="143">
        <f t="shared" si="31"/>
        <v>0</v>
      </c>
      <c r="BO71" s="175">
        <f t="shared" si="32"/>
        <v>22.599999999999998</v>
      </c>
      <c r="BP71" s="195">
        <v>21765</v>
      </c>
      <c r="BQ71" s="169"/>
    </row>
    <row r="72" spans="1:69" ht="21.75" customHeight="1" thickBot="1" x14ac:dyDescent="0.5">
      <c r="A72" s="416" t="s">
        <v>776</v>
      </c>
      <c r="B72" s="211" t="s">
        <v>773</v>
      </c>
      <c r="C72" s="212" t="s">
        <v>718</v>
      </c>
      <c r="D72" s="212" t="s">
        <v>26</v>
      </c>
      <c r="E72" s="212" t="s">
        <v>26</v>
      </c>
      <c r="F72" s="212" t="s">
        <v>26</v>
      </c>
      <c r="G72" s="212" t="s">
        <v>26</v>
      </c>
      <c r="H72" s="212" t="s">
        <v>26</v>
      </c>
      <c r="I72" s="212" t="s">
        <v>26</v>
      </c>
      <c r="J72" s="212" t="s">
        <v>26</v>
      </c>
      <c r="K72" s="212" t="s">
        <v>718</v>
      </c>
      <c r="L72" s="212" t="s">
        <v>718</v>
      </c>
      <c r="M72" s="212" t="s">
        <v>769</v>
      </c>
      <c r="N72" s="212"/>
      <c r="O72" s="212"/>
      <c r="P72" s="212"/>
      <c r="Q72" s="212"/>
      <c r="R72" s="212"/>
      <c r="S72" s="212"/>
      <c r="T72" s="212"/>
      <c r="U72" s="212"/>
      <c r="V72" s="212"/>
      <c r="W72" s="212"/>
      <c r="X72" s="212"/>
      <c r="Y72" s="212"/>
      <c r="Z72" s="212"/>
      <c r="AA72" s="212"/>
      <c r="AB72" s="212"/>
      <c r="AC72" s="212"/>
      <c r="AD72" s="212"/>
      <c r="AE72" s="212"/>
      <c r="AF72" s="221">
        <v>0</v>
      </c>
      <c r="AG72" s="211" t="s">
        <v>773</v>
      </c>
      <c r="AH72" s="212" t="s">
        <v>718</v>
      </c>
      <c r="AI72" s="212" t="s">
        <v>26</v>
      </c>
      <c r="AJ72" s="212" t="s">
        <v>26</v>
      </c>
      <c r="AK72" s="212" t="s">
        <v>26</v>
      </c>
      <c r="AL72" s="212" t="s">
        <v>26</v>
      </c>
      <c r="AM72" s="212" t="s">
        <v>26</v>
      </c>
      <c r="AN72" s="212" t="s">
        <v>26</v>
      </c>
      <c r="AO72" s="212" t="s">
        <v>26</v>
      </c>
      <c r="AP72" s="212" t="s">
        <v>718</v>
      </c>
      <c r="AQ72" s="212" t="s">
        <v>718</v>
      </c>
      <c r="AR72" s="143" t="s">
        <v>719</v>
      </c>
      <c r="AS72" s="213"/>
      <c r="AT72" s="213"/>
      <c r="AU72" s="214"/>
      <c r="AV72" s="213"/>
      <c r="AW72" s="213"/>
      <c r="AX72" s="213"/>
      <c r="AY72" s="214"/>
      <c r="AZ72" s="213"/>
      <c r="BA72" s="213"/>
      <c r="BB72" s="213"/>
      <c r="BC72" s="214"/>
      <c r="BD72" s="213"/>
      <c r="BE72" s="213"/>
      <c r="BF72" s="213"/>
      <c r="BG72" s="213"/>
      <c r="BH72" s="214"/>
      <c r="BI72" s="213"/>
      <c r="BJ72" s="214"/>
      <c r="BK72" s="417">
        <v>3.36</v>
      </c>
      <c r="BL72" s="147" t="str">
        <f t="shared" si="29"/>
        <v>เพิ่มขึ้น</v>
      </c>
      <c r="BM72" s="143">
        <f t="shared" si="30"/>
        <v>1</v>
      </c>
      <c r="BN72" s="143">
        <f t="shared" si="31"/>
        <v>0</v>
      </c>
      <c r="BO72" s="175">
        <f t="shared" si="32"/>
        <v>67.199999999999989</v>
      </c>
      <c r="BP72" s="195">
        <v>21763</v>
      </c>
      <c r="BQ72" s="169"/>
    </row>
    <row r="73" spans="1:69" ht="23.25" customHeight="1" thickBot="1" x14ac:dyDescent="0.5">
      <c r="A73" s="416" t="s">
        <v>777</v>
      </c>
      <c r="B73" s="171" t="s">
        <v>718</v>
      </c>
      <c r="C73" s="171" t="s">
        <v>718</v>
      </c>
      <c r="D73" s="171" t="s">
        <v>26</v>
      </c>
      <c r="E73" s="171" t="s">
        <v>26</v>
      </c>
      <c r="F73" s="171" t="s">
        <v>26</v>
      </c>
      <c r="G73" s="171" t="s">
        <v>26</v>
      </c>
      <c r="H73" s="171" t="s">
        <v>26</v>
      </c>
      <c r="I73" s="171" t="s">
        <v>26</v>
      </c>
      <c r="J73" s="171" t="s">
        <v>26</v>
      </c>
      <c r="K73" s="171" t="s">
        <v>718</v>
      </c>
      <c r="L73" s="171" t="s">
        <v>718</v>
      </c>
      <c r="M73" s="171" t="s">
        <v>719</v>
      </c>
      <c r="N73" s="172"/>
      <c r="O73" s="172"/>
      <c r="P73" s="171"/>
      <c r="Q73" s="172"/>
      <c r="R73" s="172"/>
      <c r="S73" s="172"/>
      <c r="T73" s="171"/>
      <c r="U73" s="172"/>
      <c r="V73" s="172"/>
      <c r="W73" s="172"/>
      <c r="X73" s="171"/>
      <c r="Y73" s="172"/>
      <c r="Z73" s="172"/>
      <c r="AA73" s="172"/>
      <c r="AB73" s="172"/>
      <c r="AC73" s="171"/>
      <c r="AD73" s="172"/>
      <c r="AE73" s="171"/>
      <c r="AF73" s="173">
        <v>1.61</v>
      </c>
      <c r="AG73" s="171" t="s">
        <v>718</v>
      </c>
      <c r="AH73" s="171" t="s">
        <v>718</v>
      </c>
      <c r="AI73" s="171" t="s">
        <v>26</v>
      </c>
      <c r="AJ73" s="171" t="s">
        <v>26</v>
      </c>
      <c r="AK73" s="171" t="s">
        <v>26</v>
      </c>
      <c r="AL73" s="171" t="s">
        <v>26</v>
      </c>
      <c r="AM73" s="171" t="s">
        <v>26</v>
      </c>
      <c r="AN73" s="171" t="s">
        <v>26</v>
      </c>
      <c r="AO73" s="171" t="s">
        <v>26</v>
      </c>
      <c r="AP73" s="171" t="s">
        <v>718</v>
      </c>
      <c r="AQ73" s="171" t="s">
        <v>718</v>
      </c>
      <c r="AR73" s="143" t="s">
        <v>719</v>
      </c>
      <c r="AS73" s="172"/>
      <c r="AT73" s="172"/>
      <c r="AU73" s="171"/>
      <c r="AV73" s="172"/>
      <c r="AW73" s="172"/>
      <c r="AX73" s="172"/>
      <c r="AY73" s="171"/>
      <c r="AZ73" s="172"/>
      <c r="BA73" s="172"/>
      <c r="BB73" s="172"/>
      <c r="BC73" s="171"/>
      <c r="BD73" s="172"/>
      <c r="BE73" s="172"/>
      <c r="BF73" s="172"/>
      <c r="BG73" s="172"/>
      <c r="BH73" s="171"/>
      <c r="BI73" s="172"/>
      <c r="BJ73" s="171"/>
      <c r="BK73" s="417">
        <v>3.48</v>
      </c>
      <c r="BL73" s="147" t="str">
        <f t="shared" si="29"/>
        <v>เพิ่มขึ้น</v>
      </c>
      <c r="BM73" s="143">
        <f t="shared" si="30"/>
        <v>1</v>
      </c>
      <c r="BN73" s="143">
        <f t="shared" si="31"/>
        <v>0</v>
      </c>
      <c r="BO73" s="175">
        <f t="shared" si="32"/>
        <v>37.4</v>
      </c>
      <c r="BP73" s="195">
        <v>21765</v>
      </c>
      <c r="BQ73" s="169"/>
    </row>
    <row r="74" spans="1:69" ht="20.25" customHeight="1" thickBot="1" x14ac:dyDescent="0.5">
      <c r="A74" s="416" t="s">
        <v>778</v>
      </c>
      <c r="B74" s="171" t="s">
        <v>718</v>
      </c>
      <c r="C74" s="171" t="s">
        <v>718</v>
      </c>
      <c r="D74" s="171" t="s">
        <v>26</v>
      </c>
      <c r="E74" s="171" t="s">
        <v>26</v>
      </c>
      <c r="F74" s="171" t="s">
        <v>26</v>
      </c>
      <c r="G74" s="171" t="s">
        <v>26</v>
      </c>
      <c r="H74" s="171" t="s">
        <v>26</v>
      </c>
      <c r="I74" s="171" t="s">
        <v>26</v>
      </c>
      <c r="J74" s="171" t="s">
        <v>26</v>
      </c>
      <c r="K74" s="171" t="s">
        <v>718</v>
      </c>
      <c r="L74" s="171" t="s">
        <v>718</v>
      </c>
      <c r="M74" s="171" t="s">
        <v>719</v>
      </c>
      <c r="N74" s="172"/>
      <c r="O74" s="172"/>
      <c r="P74" s="171"/>
      <c r="Q74" s="172"/>
      <c r="R74" s="172"/>
      <c r="S74" s="172"/>
      <c r="T74" s="171"/>
      <c r="U74" s="172"/>
      <c r="V74" s="172"/>
      <c r="W74" s="172"/>
      <c r="X74" s="171"/>
      <c r="Y74" s="172"/>
      <c r="Z74" s="172"/>
      <c r="AA74" s="172"/>
      <c r="AB74" s="172"/>
      <c r="AC74" s="171"/>
      <c r="AD74" s="172"/>
      <c r="AE74" s="171"/>
      <c r="AF74" s="173">
        <v>2.2999999999999998</v>
      </c>
      <c r="AG74" s="171" t="s">
        <v>718</v>
      </c>
      <c r="AH74" s="171" t="s">
        <v>718</v>
      </c>
      <c r="AI74" s="171" t="s">
        <v>26</v>
      </c>
      <c r="AJ74" s="171" t="s">
        <v>26</v>
      </c>
      <c r="AK74" s="171" t="s">
        <v>26</v>
      </c>
      <c r="AL74" s="171" t="s">
        <v>26</v>
      </c>
      <c r="AM74" s="171" t="s">
        <v>26</v>
      </c>
      <c r="AN74" s="171" t="s">
        <v>26</v>
      </c>
      <c r="AO74" s="171" t="s">
        <v>26</v>
      </c>
      <c r="AP74" s="171" t="s">
        <v>718</v>
      </c>
      <c r="AQ74" s="171" t="s">
        <v>718</v>
      </c>
      <c r="AR74" s="143" t="s">
        <v>719</v>
      </c>
      <c r="AS74" s="172"/>
      <c r="AT74" s="172"/>
      <c r="AU74" s="171"/>
      <c r="AV74" s="172"/>
      <c r="AW74" s="172"/>
      <c r="AX74" s="172"/>
      <c r="AY74" s="171"/>
      <c r="AZ74" s="172"/>
      <c r="BA74" s="172"/>
      <c r="BB74" s="172"/>
      <c r="BC74" s="171"/>
      <c r="BD74" s="172"/>
      <c r="BE74" s="172"/>
      <c r="BF74" s="172"/>
      <c r="BG74" s="172"/>
      <c r="BH74" s="171"/>
      <c r="BI74" s="172"/>
      <c r="BJ74" s="171"/>
      <c r="BK74" s="417">
        <v>3.2</v>
      </c>
      <c r="BL74" s="147" t="str">
        <f t="shared" si="29"/>
        <v>เพิ่มขึ้น</v>
      </c>
      <c r="BM74" s="143">
        <f t="shared" si="30"/>
        <v>1</v>
      </c>
      <c r="BN74" s="143">
        <f t="shared" si="31"/>
        <v>0</v>
      </c>
      <c r="BO74" s="175">
        <f t="shared" si="32"/>
        <v>18.000000000000007</v>
      </c>
      <c r="BP74" s="195">
        <v>21767</v>
      </c>
      <c r="BQ74" s="169"/>
    </row>
    <row r="75" spans="1:69" ht="22.5" customHeight="1" thickBot="1" x14ac:dyDescent="0.5">
      <c r="A75" s="416" t="s">
        <v>779</v>
      </c>
      <c r="B75" s="211" t="s">
        <v>773</v>
      </c>
      <c r="C75" s="212" t="s">
        <v>718</v>
      </c>
      <c r="D75" s="212" t="s">
        <v>26</v>
      </c>
      <c r="E75" s="212" t="s">
        <v>26</v>
      </c>
      <c r="F75" s="212" t="s">
        <v>26</v>
      </c>
      <c r="G75" s="212" t="s">
        <v>26</v>
      </c>
      <c r="H75" s="212" t="s">
        <v>26</v>
      </c>
      <c r="I75" s="212" t="s">
        <v>26</v>
      </c>
      <c r="J75" s="212" t="s">
        <v>26</v>
      </c>
      <c r="K75" s="212" t="s">
        <v>718</v>
      </c>
      <c r="L75" s="212" t="s">
        <v>718</v>
      </c>
      <c r="M75" s="212" t="s">
        <v>769</v>
      </c>
      <c r="N75" s="212"/>
      <c r="O75" s="212"/>
      <c r="P75" s="212"/>
      <c r="Q75" s="212"/>
      <c r="R75" s="212"/>
      <c r="S75" s="212"/>
      <c r="T75" s="212"/>
      <c r="U75" s="212"/>
      <c r="V75" s="212"/>
      <c r="W75" s="212"/>
      <c r="X75" s="212"/>
      <c r="Y75" s="212"/>
      <c r="Z75" s="212"/>
      <c r="AA75" s="212"/>
      <c r="AB75" s="212"/>
      <c r="AC75" s="212"/>
      <c r="AD75" s="212"/>
      <c r="AE75" s="212"/>
      <c r="AF75" s="221">
        <v>0</v>
      </c>
      <c r="AG75" s="211" t="s">
        <v>773</v>
      </c>
      <c r="AH75" s="212" t="s">
        <v>718</v>
      </c>
      <c r="AI75" s="212" t="s">
        <v>26</v>
      </c>
      <c r="AJ75" s="212" t="s">
        <v>26</v>
      </c>
      <c r="AK75" s="212" t="s">
        <v>26</v>
      </c>
      <c r="AL75" s="212" t="s">
        <v>26</v>
      </c>
      <c r="AM75" s="212" t="s">
        <v>26</v>
      </c>
      <c r="AN75" s="212" t="s">
        <v>26</v>
      </c>
      <c r="AO75" s="212" t="s">
        <v>26</v>
      </c>
      <c r="AP75" s="212" t="s">
        <v>718</v>
      </c>
      <c r="AQ75" s="212" t="s">
        <v>718</v>
      </c>
      <c r="AR75" s="143" t="s">
        <v>719</v>
      </c>
      <c r="AS75" s="213"/>
      <c r="AT75" s="213"/>
      <c r="AU75" s="214"/>
      <c r="AV75" s="213"/>
      <c r="AW75" s="213"/>
      <c r="AX75" s="213"/>
      <c r="AY75" s="214"/>
      <c r="AZ75" s="213"/>
      <c r="BA75" s="213"/>
      <c r="BB75" s="213"/>
      <c r="BC75" s="214"/>
      <c r="BD75" s="213"/>
      <c r="BE75" s="213"/>
      <c r="BF75" s="213"/>
      <c r="BG75" s="213"/>
      <c r="BH75" s="214"/>
      <c r="BI75" s="213"/>
      <c r="BJ75" s="214"/>
      <c r="BK75" s="417">
        <v>3.41</v>
      </c>
      <c r="BL75" s="147" t="str">
        <f t="shared" si="29"/>
        <v>เพิ่มขึ้น</v>
      </c>
      <c r="BM75" s="143">
        <f t="shared" si="30"/>
        <v>1</v>
      </c>
      <c r="BN75" s="143">
        <f t="shared" si="31"/>
        <v>0</v>
      </c>
      <c r="BO75" s="175">
        <f t="shared" si="32"/>
        <v>68.2</v>
      </c>
      <c r="BP75" s="195">
        <v>21763</v>
      </c>
      <c r="BQ75" s="169"/>
    </row>
    <row r="76" spans="1:69" ht="22.5" customHeight="1" thickBot="1" x14ac:dyDescent="0.5">
      <c r="A76" s="416" t="s">
        <v>780</v>
      </c>
      <c r="B76" s="171" t="s">
        <v>718</v>
      </c>
      <c r="C76" s="171" t="s">
        <v>718</v>
      </c>
      <c r="D76" s="171" t="s">
        <v>26</v>
      </c>
      <c r="E76" s="171" t="s">
        <v>26</v>
      </c>
      <c r="F76" s="171" t="s">
        <v>26</v>
      </c>
      <c r="G76" s="171" t="s">
        <v>26</v>
      </c>
      <c r="H76" s="171" t="s">
        <v>26</v>
      </c>
      <c r="I76" s="171" t="s">
        <v>26</v>
      </c>
      <c r="J76" s="171" t="s">
        <v>26</v>
      </c>
      <c r="K76" s="171" t="s">
        <v>718</v>
      </c>
      <c r="L76" s="171" t="s">
        <v>718</v>
      </c>
      <c r="M76" s="171" t="s">
        <v>719</v>
      </c>
      <c r="N76" s="172"/>
      <c r="O76" s="172"/>
      <c r="P76" s="171"/>
      <c r="Q76" s="172"/>
      <c r="R76" s="172"/>
      <c r="S76" s="172"/>
      <c r="T76" s="171"/>
      <c r="U76" s="172"/>
      <c r="V76" s="172"/>
      <c r="W76" s="172"/>
      <c r="X76" s="171"/>
      <c r="Y76" s="172"/>
      <c r="Z76" s="172"/>
      <c r="AA76" s="172"/>
      <c r="AB76" s="172"/>
      <c r="AC76" s="171"/>
      <c r="AD76" s="172"/>
      <c r="AE76" s="171"/>
      <c r="AF76" s="173">
        <v>1.74</v>
      </c>
      <c r="AG76" s="171" t="s">
        <v>718</v>
      </c>
      <c r="AH76" s="171" t="s">
        <v>718</v>
      </c>
      <c r="AI76" s="171" t="s">
        <v>26</v>
      </c>
      <c r="AJ76" s="171" t="s">
        <v>26</v>
      </c>
      <c r="AK76" s="171" t="s">
        <v>26</v>
      </c>
      <c r="AL76" s="171" t="s">
        <v>26</v>
      </c>
      <c r="AM76" s="171" t="s">
        <v>26</v>
      </c>
      <c r="AN76" s="171" t="s">
        <v>26</v>
      </c>
      <c r="AO76" s="171" t="s">
        <v>26</v>
      </c>
      <c r="AP76" s="171" t="s">
        <v>718</v>
      </c>
      <c r="AQ76" s="171" t="s">
        <v>718</v>
      </c>
      <c r="AR76" s="143" t="s">
        <v>719</v>
      </c>
      <c r="AS76" s="172"/>
      <c r="AT76" s="172"/>
      <c r="AU76" s="171"/>
      <c r="AV76" s="172"/>
      <c r="AW76" s="172"/>
      <c r="AX76" s="172"/>
      <c r="AY76" s="171"/>
      <c r="AZ76" s="172"/>
      <c r="BA76" s="172"/>
      <c r="BB76" s="172"/>
      <c r="BC76" s="171"/>
      <c r="BD76" s="172"/>
      <c r="BE76" s="172"/>
      <c r="BF76" s="172"/>
      <c r="BG76" s="172"/>
      <c r="BH76" s="171"/>
      <c r="BI76" s="172"/>
      <c r="BJ76" s="171"/>
      <c r="BK76" s="417">
        <v>3.52</v>
      </c>
      <c r="BL76" s="147" t="str">
        <f t="shared" si="29"/>
        <v>เพิ่มขึ้น</v>
      </c>
      <c r="BM76" s="143">
        <f t="shared" si="30"/>
        <v>1</v>
      </c>
      <c r="BN76" s="143">
        <f t="shared" si="31"/>
        <v>0</v>
      </c>
      <c r="BO76" s="175">
        <f t="shared" si="32"/>
        <v>35.6</v>
      </c>
      <c r="BP76" s="195">
        <v>21766</v>
      </c>
      <c r="BQ76" s="169"/>
    </row>
    <row r="77" spans="1:69" ht="22.5" customHeight="1" thickBot="1" x14ac:dyDescent="0.5">
      <c r="A77" s="416" t="s">
        <v>781</v>
      </c>
      <c r="B77" s="171" t="s">
        <v>718</v>
      </c>
      <c r="C77" s="171" t="s">
        <v>718</v>
      </c>
      <c r="D77" s="171" t="s">
        <v>26</v>
      </c>
      <c r="E77" s="171" t="s">
        <v>26</v>
      </c>
      <c r="F77" s="171" t="s">
        <v>26</v>
      </c>
      <c r="G77" s="171" t="s">
        <v>26</v>
      </c>
      <c r="H77" s="171" t="s">
        <v>26</v>
      </c>
      <c r="I77" s="171" t="s">
        <v>26</v>
      </c>
      <c r="J77" s="171" t="s">
        <v>26</v>
      </c>
      <c r="K77" s="171" t="s">
        <v>718</v>
      </c>
      <c r="L77" s="171" t="s">
        <v>718</v>
      </c>
      <c r="M77" s="171" t="s">
        <v>719</v>
      </c>
      <c r="N77" s="172"/>
      <c r="O77" s="172"/>
      <c r="P77" s="171"/>
      <c r="Q77" s="172"/>
      <c r="R77" s="172"/>
      <c r="S77" s="172"/>
      <c r="T77" s="171"/>
      <c r="U77" s="172"/>
      <c r="V77" s="172"/>
      <c r="W77" s="172"/>
      <c r="X77" s="171"/>
      <c r="Y77" s="172"/>
      <c r="Z77" s="172"/>
      <c r="AA77" s="172"/>
      <c r="AB77" s="172"/>
      <c r="AC77" s="171"/>
      <c r="AD77" s="172"/>
      <c r="AE77" s="171"/>
      <c r="AF77" s="173">
        <v>1.57</v>
      </c>
      <c r="AG77" s="171" t="s">
        <v>718</v>
      </c>
      <c r="AH77" s="171" t="s">
        <v>718</v>
      </c>
      <c r="AI77" s="171" t="s">
        <v>26</v>
      </c>
      <c r="AJ77" s="171" t="s">
        <v>26</v>
      </c>
      <c r="AK77" s="171" t="s">
        <v>26</v>
      </c>
      <c r="AL77" s="171" t="s">
        <v>26</v>
      </c>
      <c r="AM77" s="171" t="s">
        <v>26</v>
      </c>
      <c r="AN77" s="171" t="s">
        <v>26</v>
      </c>
      <c r="AO77" s="171" t="s">
        <v>26</v>
      </c>
      <c r="AP77" s="171" t="s">
        <v>718</v>
      </c>
      <c r="AQ77" s="171" t="s">
        <v>718</v>
      </c>
      <c r="AR77" s="143" t="s">
        <v>719</v>
      </c>
      <c r="AS77" s="172"/>
      <c r="AT77" s="172"/>
      <c r="AU77" s="171"/>
      <c r="AV77" s="172"/>
      <c r="AW77" s="172"/>
      <c r="AX77" s="172"/>
      <c r="AY77" s="171"/>
      <c r="AZ77" s="172"/>
      <c r="BA77" s="172"/>
      <c r="BB77" s="172"/>
      <c r="BC77" s="171"/>
      <c r="BD77" s="172"/>
      <c r="BE77" s="172"/>
      <c r="BF77" s="172"/>
      <c r="BG77" s="172"/>
      <c r="BH77" s="171"/>
      <c r="BI77" s="172"/>
      <c r="BJ77" s="171"/>
      <c r="BK77" s="417">
        <v>3.18</v>
      </c>
      <c r="BL77" s="147" t="str">
        <f t="shared" si="29"/>
        <v>เพิ่มขึ้น</v>
      </c>
      <c r="BM77" s="143">
        <f t="shared" si="30"/>
        <v>1</v>
      </c>
      <c r="BN77" s="143">
        <f t="shared" si="31"/>
        <v>0</v>
      </c>
      <c r="BO77" s="175">
        <f t="shared" si="32"/>
        <v>32.200000000000003</v>
      </c>
      <c r="BP77" s="195">
        <v>21763</v>
      </c>
      <c r="BQ77" s="169"/>
    </row>
    <row r="78" spans="1:69" ht="21.75" customHeight="1" thickBot="1" x14ac:dyDescent="0.5">
      <c r="A78" s="416" t="s">
        <v>782</v>
      </c>
      <c r="B78" s="171" t="s">
        <v>718</v>
      </c>
      <c r="C78" s="171" t="s">
        <v>718</v>
      </c>
      <c r="D78" s="171" t="s">
        <v>26</v>
      </c>
      <c r="E78" s="171" t="s">
        <v>26</v>
      </c>
      <c r="F78" s="171" t="s">
        <v>26</v>
      </c>
      <c r="G78" s="171" t="s">
        <v>26</v>
      </c>
      <c r="H78" s="171" t="s">
        <v>26</v>
      </c>
      <c r="I78" s="171" t="s">
        <v>26</v>
      </c>
      <c r="J78" s="171" t="s">
        <v>26</v>
      </c>
      <c r="K78" s="171" t="s">
        <v>718</v>
      </c>
      <c r="L78" s="171" t="s">
        <v>718</v>
      </c>
      <c r="M78" s="171" t="s">
        <v>719</v>
      </c>
      <c r="N78" s="172"/>
      <c r="O78" s="172"/>
      <c r="P78" s="171"/>
      <c r="Q78" s="172"/>
      <c r="R78" s="172"/>
      <c r="S78" s="172"/>
      <c r="T78" s="171"/>
      <c r="U78" s="172"/>
      <c r="V78" s="172"/>
      <c r="W78" s="172"/>
      <c r="X78" s="171"/>
      <c r="Y78" s="172"/>
      <c r="Z78" s="172"/>
      <c r="AA78" s="172"/>
      <c r="AB78" s="172"/>
      <c r="AC78" s="171"/>
      <c r="AD78" s="172"/>
      <c r="AE78" s="171"/>
      <c r="AF78" s="173">
        <v>2.2999999999999998</v>
      </c>
      <c r="AG78" s="171" t="s">
        <v>718</v>
      </c>
      <c r="AH78" s="171" t="s">
        <v>718</v>
      </c>
      <c r="AI78" s="171" t="s">
        <v>26</v>
      </c>
      <c r="AJ78" s="171" t="s">
        <v>26</v>
      </c>
      <c r="AK78" s="171" t="s">
        <v>26</v>
      </c>
      <c r="AL78" s="171" t="s">
        <v>26</v>
      </c>
      <c r="AM78" s="171" t="s">
        <v>26</v>
      </c>
      <c r="AN78" s="171" t="s">
        <v>26</v>
      </c>
      <c r="AO78" s="171" t="s">
        <v>26</v>
      </c>
      <c r="AP78" s="171" t="s">
        <v>718</v>
      </c>
      <c r="AQ78" s="171" t="s">
        <v>718</v>
      </c>
      <c r="AR78" s="143" t="s">
        <v>719</v>
      </c>
      <c r="AS78" s="172"/>
      <c r="AT78" s="172"/>
      <c r="AU78" s="171"/>
      <c r="AV78" s="172"/>
      <c r="AW78" s="172"/>
      <c r="AX78" s="172"/>
      <c r="AY78" s="171"/>
      <c r="AZ78" s="172"/>
      <c r="BA78" s="172"/>
      <c r="BB78" s="172"/>
      <c r="BC78" s="171"/>
      <c r="BD78" s="172"/>
      <c r="BE78" s="172"/>
      <c r="BF78" s="172"/>
      <c r="BG78" s="172"/>
      <c r="BH78" s="171"/>
      <c r="BI78" s="172"/>
      <c r="BJ78" s="171"/>
      <c r="BK78" s="417">
        <v>3.45</v>
      </c>
      <c r="BL78" s="147" t="str">
        <f t="shared" si="29"/>
        <v>เพิ่มขึ้น</v>
      </c>
      <c r="BM78" s="143">
        <f t="shared" si="30"/>
        <v>1</v>
      </c>
      <c r="BN78" s="143">
        <f t="shared" si="31"/>
        <v>0</v>
      </c>
      <c r="BO78" s="175">
        <f t="shared" si="32"/>
        <v>23.000000000000007</v>
      </c>
      <c r="BP78" s="195">
        <v>21767</v>
      </c>
      <c r="BQ78" s="169"/>
    </row>
    <row r="79" spans="1:69" ht="19.5" customHeight="1" thickBot="1" x14ac:dyDescent="0.5">
      <c r="A79" s="416" t="s">
        <v>783</v>
      </c>
      <c r="B79" s="171" t="s">
        <v>718</v>
      </c>
      <c r="C79" s="171" t="s">
        <v>718</v>
      </c>
      <c r="D79" s="171" t="s">
        <v>26</v>
      </c>
      <c r="E79" s="171" t="s">
        <v>26</v>
      </c>
      <c r="F79" s="171" t="s">
        <v>26</v>
      </c>
      <c r="G79" s="171" t="s">
        <v>26</v>
      </c>
      <c r="H79" s="171" t="s">
        <v>26</v>
      </c>
      <c r="I79" s="171" t="s">
        <v>26</v>
      </c>
      <c r="J79" s="171" t="s">
        <v>26</v>
      </c>
      <c r="K79" s="171" t="s">
        <v>718</v>
      </c>
      <c r="L79" s="171" t="s">
        <v>718</v>
      </c>
      <c r="M79" s="171" t="s">
        <v>719</v>
      </c>
      <c r="N79" s="172"/>
      <c r="O79" s="172"/>
      <c r="P79" s="171"/>
      <c r="Q79" s="172"/>
      <c r="R79" s="172"/>
      <c r="S79" s="172"/>
      <c r="T79" s="171"/>
      <c r="U79" s="172"/>
      <c r="V79" s="172"/>
      <c r="W79" s="172"/>
      <c r="X79" s="171"/>
      <c r="Y79" s="172"/>
      <c r="Z79" s="172"/>
      <c r="AA79" s="172"/>
      <c r="AB79" s="172"/>
      <c r="AC79" s="171"/>
      <c r="AD79" s="172"/>
      <c r="AE79" s="171"/>
      <c r="AF79" s="173">
        <v>1.76</v>
      </c>
      <c r="AG79" s="171" t="s">
        <v>718</v>
      </c>
      <c r="AH79" s="171" t="s">
        <v>718</v>
      </c>
      <c r="AI79" s="171" t="s">
        <v>26</v>
      </c>
      <c r="AJ79" s="171" t="s">
        <v>26</v>
      </c>
      <c r="AK79" s="171" t="s">
        <v>26</v>
      </c>
      <c r="AL79" s="171" t="s">
        <v>26</v>
      </c>
      <c r="AM79" s="171" t="s">
        <v>26</v>
      </c>
      <c r="AN79" s="171" t="s">
        <v>26</v>
      </c>
      <c r="AO79" s="171" t="s">
        <v>26</v>
      </c>
      <c r="AP79" s="171" t="s">
        <v>718</v>
      </c>
      <c r="AQ79" s="171" t="s">
        <v>718</v>
      </c>
      <c r="AR79" s="143" t="s">
        <v>719</v>
      </c>
      <c r="AS79" s="172"/>
      <c r="AT79" s="172"/>
      <c r="AU79" s="171"/>
      <c r="AV79" s="172"/>
      <c r="AW79" s="172"/>
      <c r="AX79" s="172"/>
      <c r="AY79" s="171"/>
      <c r="AZ79" s="172"/>
      <c r="BA79" s="172"/>
      <c r="BB79" s="172"/>
      <c r="BC79" s="171"/>
      <c r="BD79" s="172"/>
      <c r="BE79" s="172"/>
      <c r="BF79" s="172"/>
      <c r="BG79" s="172"/>
      <c r="BH79" s="171"/>
      <c r="BI79" s="172"/>
      <c r="BJ79" s="171"/>
      <c r="BK79" s="417">
        <v>3.63</v>
      </c>
      <c r="BL79" s="147" t="str">
        <f t="shared" si="29"/>
        <v>เพิ่มขึ้น</v>
      </c>
      <c r="BM79" s="143">
        <f t="shared" si="30"/>
        <v>1</v>
      </c>
      <c r="BN79" s="143">
        <f t="shared" si="31"/>
        <v>0</v>
      </c>
      <c r="BO79" s="175">
        <f t="shared" si="32"/>
        <v>37.4</v>
      </c>
      <c r="BP79" s="195">
        <v>21767</v>
      </c>
      <c r="BQ79" s="169"/>
    </row>
    <row r="80" spans="1:69" ht="24.75" customHeight="1" thickBot="1" x14ac:dyDescent="0.5">
      <c r="A80" s="492" t="s">
        <v>784</v>
      </c>
      <c r="B80" s="493"/>
      <c r="C80" s="493"/>
      <c r="D80" s="493"/>
      <c r="E80" s="493"/>
      <c r="F80" s="493"/>
      <c r="G80" s="493"/>
      <c r="H80" s="493"/>
      <c r="I80" s="493"/>
      <c r="J80" s="493"/>
      <c r="K80" s="493"/>
      <c r="L80" s="493"/>
      <c r="M80" s="494"/>
      <c r="N80" s="215"/>
      <c r="O80" s="215"/>
      <c r="P80" s="216"/>
      <c r="Q80" s="215"/>
      <c r="R80" s="215"/>
      <c r="S80" s="215"/>
      <c r="T80" s="216"/>
      <c r="U80" s="215"/>
      <c r="V80" s="215"/>
      <c r="W80" s="215"/>
      <c r="X80" s="216"/>
      <c r="Y80" s="215"/>
      <c r="Z80" s="215"/>
      <c r="AA80" s="215"/>
      <c r="AB80" s="215"/>
      <c r="AC80" s="216"/>
      <c r="AD80" s="215"/>
      <c r="AE80" s="216"/>
      <c r="AF80" s="217">
        <f>SUM(AF69:AF79)/11</f>
        <v>1.3736363636363638</v>
      </c>
      <c r="AG80" s="217"/>
      <c r="AH80" s="217"/>
      <c r="AI80" s="217"/>
      <c r="AJ80" s="217"/>
      <c r="AK80" s="217"/>
      <c r="AL80" s="217"/>
      <c r="AM80" s="217"/>
      <c r="AN80" s="217"/>
      <c r="AO80" s="217"/>
      <c r="AP80" s="217"/>
      <c r="AQ80" s="217"/>
      <c r="AR80" s="427"/>
      <c r="AS80" s="215"/>
      <c r="AT80" s="215"/>
      <c r="AU80" s="216"/>
      <c r="AV80" s="215"/>
      <c r="AW80" s="215"/>
      <c r="AX80" s="215"/>
      <c r="AY80" s="216"/>
      <c r="AZ80" s="215"/>
      <c r="BA80" s="215"/>
      <c r="BB80" s="215"/>
      <c r="BC80" s="216"/>
      <c r="BD80" s="215"/>
      <c r="BE80" s="215"/>
      <c r="BF80" s="215"/>
      <c r="BG80" s="215"/>
      <c r="BH80" s="216"/>
      <c r="BI80" s="215"/>
      <c r="BJ80" s="216"/>
      <c r="BK80" s="427">
        <f>SUM(BK69:BK79)/11</f>
        <v>3.371818181818182</v>
      </c>
      <c r="BL80" s="243" t="str">
        <f t="shared" si="29"/>
        <v>เพิ่มขึ้น</v>
      </c>
      <c r="BM80" s="198"/>
      <c r="BN80" s="198"/>
      <c r="BO80" s="184"/>
      <c r="BP80" s="218"/>
      <c r="BQ80" s="181"/>
    </row>
    <row r="81" spans="1:70" ht="23.25" thickBot="1" x14ac:dyDescent="0.5">
      <c r="A81" s="185" t="s">
        <v>785</v>
      </c>
      <c r="B81" s="160"/>
      <c r="C81" s="160"/>
      <c r="D81" s="160"/>
      <c r="E81" s="160"/>
      <c r="F81" s="160"/>
      <c r="G81" s="160"/>
      <c r="H81" s="160"/>
      <c r="I81" s="160"/>
      <c r="J81" s="160"/>
      <c r="K81" s="160"/>
      <c r="L81" s="160"/>
      <c r="M81" s="160"/>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9"/>
      <c r="BL81" s="160"/>
      <c r="BM81" s="160"/>
      <c r="BN81" s="160"/>
      <c r="BO81" s="186"/>
      <c r="BP81" s="208"/>
      <c r="BQ81" s="161"/>
    </row>
    <row r="82" spans="1:70" ht="23.25" thickBot="1" x14ac:dyDescent="0.5">
      <c r="A82" s="418" t="s">
        <v>716</v>
      </c>
      <c r="B82" s="419"/>
      <c r="C82" s="419"/>
      <c r="D82" s="419"/>
      <c r="E82" s="419"/>
      <c r="F82" s="419"/>
      <c r="G82" s="419"/>
      <c r="H82" s="419"/>
      <c r="I82" s="419"/>
      <c r="J82" s="419"/>
      <c r="K82" s="419"/>
      <c r="L82" s="419"/>
      <c r="M82" s="419"/>
      <c r="N82" s="420"/>
      <c r="O82" s="420"/>
      <c r="P82" s="419"/>
      <c r="Q82" s="420"/>
      <c r="R82" s="420"/>
      <c r="S82" s="420"/>
      <c r="T82" s="419"/>
      <c r="U82" s="420"/>
      <c r="V82" s="420"/>
      <c r="W82" s="420"/>
      <c r="X82" s="419"/>
      <c r="Y82" s="420"/>
      <c r="Z82" s="420"/>
      <c r="AA82" s="420"/>
      <c r="AB82" s="420"/>
      <c r="AC82" s="419"/>
      <c r="AD82" s="420"/>
      <c r="AE82" s="419"/>
      <c r="AF82" s="419"/>
      <c r="AG82" s="419"/>
      <c r="AH82" s="419"/>
      <c r="AI82" s="419"/>
      <c r="AJ82" s="419"/>
      <c r="AK82" s="419"/>
      <c r="AL82" s="419"/>
      <c r="AM82" s="419"/>
      <c r="AN82" s="419"/>
      <c r="AO82" s="419"/>
      <c r="AP82" s="419"/>
      <c r="AQ82" s="419"/>
      <c r="AR82" s="419"/>
      <c r="AS82" s="420"/>
      <c r="AT82" s="420"/>
      <c r="AU82" s="419"/>
      <c r="AV82" s="420"/>
      <c r="AW82" s="420"/>
      <c r="AX82" s="420"/>
      <c r="AY82" s="419"/>
      <c r="AZ82" s="420"/>
      <c r="BA82" s="420"/>
      <c r="BB82" s="420"/>
      <c r="BC82" s="419"/>
      <c r="BD82" s="420"/>
      <c r="BE82" s="420"/>
      <c r="BF82" s="420"/>
      <c r="BG82" s="420"/>
      <c r="BH82" s="419"/>
      <c r="BI82" s="420"/>
      <c r="BJ82" s="419"/>
      <c r="BK82" s="421"/>
      <c r="BL82" s="162"/>
      <c r="BM82" s="162"/>
      <c r="BN82" s="162"/>
      <c r="BO82" s="163"/>
      <c r="BP82" s="194"/>
      <c r="BQ82" s="161"/>
    </row>
    <row r="83" spans="1:70" ht="23.25" customHeight="1" thickBot="1" x14ac:dyDescent="0.5">
      <c r="A83" s="416" t="s">
        <v>847</v>
      </c>
      <c r="B83" s="171" t="s">
        <v>718</v>
      </c>
      <c r="C83" s="171" t="s">
        <v>718</v>
      </c>
      <c r="D83" s="171" t="s">
        <v>26</v>
      </c>
      <c r="E83" s="171" t="s">
        <v>26</v>
      </c>
      <c r="F83" s="171" t="s">
        <v>26</v>
      </c>
      <c r="G83" s="171" t="s">
        <v>26</v>
      </c>
      <c r="H83" s="171" t="s">
        <v>26</v>
      </c>
      <c r="I83" s="171" t="s">
        <v>26</v>
      </c>
      <c r="J83" s="171" t="s">
        <v>26</v>
      </c>
      <c r="K83" s="171" t="s">
        <v>718</v>
      </c>
      <c r="L83" s="171" t="s">
        <v>718</v>
      </c>
      <c r="M83" s="171" t="s">
        <v>719</v>
      </c>
      <c r="N83" s="172"/>
      <c r="O83" s="172"/>
      <c r="P83" s="171"/>
      <c r="Q83" s="172"/>
      <c r="R83" s="172"/>
      <c r="S83" s="172"/>
      <c r="T83" s="171"/>
      <c r="U83" s="172"/>
      <c r="V83" s="172"/>
      <c r="W83" s="172"/>
      <c r="X83" s="171"/>
      <c r="Y83" s="172"/>
      <c r="Z83" s="172"/>
      <c r="AA83" s="172"/>
      <c r="AB83" s="172"/>
      <c r="AC83" s="171"/>
      <c r="AD83" s="172"/>
      <c r="AE83" s="171"/>
      <c r="AF83" s="171">
        <v>2.38</v>
      </c>
      <c r="AG83" s="171" t="s">
        <v>718</v>
      </c>
      <c r="AH83" s="171" t="s">
        <v>718</v>
      </c>
      <c r="AI83" s="171" t="s">
        <v>26</v>
      </c>
      <c r="AJ83" s="171" t="s">
        <v>26</v>
      </c>
      <c r="AK83" s="171" t="s">
        <v>26</v>
      </c>
      <c r="AL83" s="171" t="s">
        <v>26</v>
      </c>
      <c r="AM83" s="171" t="s">
        <v>26</v>
      </c>
      <c r="AN83" s="171" t="s">
        <v>26</v>
      </c>
      <c r="AO83" s="171" t="s">
        <v>26</v>
      </c>
      <c r="AP83" s="171" t="s">
        <v>718</v>
      </c>
      <c r="AQ83" s="171" t="s">
        <v>718</v>
      </c>
      <c r="AR83" s="143" t="s">
        <v>719</v>
      </c>
      <c r="AS83" s="172"/>
      <c r="AT83" s="172"/>
      <c r="AU83" s="171"/>
      <c r="AV83" s="172"/>
      <c r="AW83" s="172"/>
      <c r="AX83" s="172"/>
      <c r="AY83" s="171"/>
      <c r="AZ83" s="172"/>
      <c r="BA83" s="172"/>
      <c r="BB83" s="172"/>
      <c r="BC83" s="171"/>
      <c r="BD83" s="172"/>
      <c r="BE83" s="172"/>
      <c r="BF83" s="172"/>
      <c r="BG83" s="172"/>
      <c r="BH83" s="171"/>
      <c r="BI83" s="172"/>
      <c r="BJ83" s="171"/>
      <c r="BK83" s="417">
        <v>2.94</v>
      </c>
      <c r="BL83" s="147" t="str">
        <f t="shared" ref="BL83:BL84" si="33">IF(AF83="ไม่ประเมิน","คงที่",IF(AF83&lt;BK83,"เพิ่มขึ้น",IF(AF83&gt;BK83,"ลดลง",IF(AF83=BK83,"คงที่",""))))</f>
        <v>เพิ่มขึ้น</v>
      </c>
      <c r="BM83" s="143">
        <f t="shared" ref="BM83:BM85" si="34">IF(BL83="-","",IF(BL83="เพิ่มขึ้น",1,IF(BL83="ลดลง",0)))</f>
        <v>1</v>
      </c>
      <c r="BN83" s="143">
        <f t="shared" ref="BN83:BN85" si="35">IF(BL83="-","",IF(BL83="เพิ่มขึ้น",0,IF(BL83="ลดลง",1)))</f>
        <v>0</v>
      </c>
      <c r="BO83" s="175">
        <f t="shared" ref="BO83:BO84" si="36">SUM(BK83-AF83)/5*100</f>
        <v>11.200000000000001</v>
      </c>
      <c r="BP83" s="195">
        <v>21767</v>
      </c>
      <c r="BQ83" s="169"/>
    </row>
    <row r="84" spans="1:70" ht="24" customHeight="1" thickBot="1" x14ac:dyDescent="0.5">
      <c r="A84" s="416" t="s">
        <v>848</v>
      </c>
      <c r="B84" s="171" t="s">
        <v>718</v>
      </c>
      <c r="C84" s="171" t="s">
        <v>718</v>
      </c>
      <c r="D84" s="171" t="s">
        <v>26</v>
      </c>
      <c r="E84" s="171" t="s">
        <v>26</v>
      </c>
      <c r="F84" s="171" t="s">
        <v>26</v>
      </c>
      <c r="G84" s="171" t="s">
        <v>26</v>
      </c>
      <c r="H84" s="171" t="s">
        <v>26</v>
      </c>
      <c r="I84" s="171" t="s">
        <v>26</v>
      </c>
      <c r="J84" s="171" t="s">
        <v>26</v>
      </c>
      <c r="K84" s="171" t="s">
        <v>718</v>
      </c>
      <c r="L84" s="171" t="s">
        <v>718</v>
      </c>
      <c r="M84" s="171" t="s">
        <v>719</v>
      </c>
      <c r="N84" s="172"/>
      <c r="O84" s="172"/>
      <c r="P84" s="171"/>
      <c r="Q84" s="172"/>
      <c r="R84" s="172"/>
      <c r="S84" s="172"/>
      <c r="T84" s="171"/>
      <c r="U84" s="172"/>
      <c r="V84" s="172"/>
      <c r="W84" s="172"/>
      <c r="X84" s="171"/>
      <c r="Y84" s="172"/>
      <c r="Z84" s="172"/>
      <c r="AA84" s="172"/>
      <c r="AB84" s="172"/>
      <c r="AC84" s="171"/>
      <c r="AD84" s="172"/>
      <c r="AE84" s="171"/>
      <c r="AF84" s="214">
        <v>2.09</v>
      </c>
      <c r="AG84" s="171" t="s">
        <v>718</v>
      </c>
      <c r="AH84" s="171" t="s">
        <v>718</v>
      </c>
      <c r="AI84" s="171" t="s">
        <v>26</v>
      </c>
      <c r="AJ84" s="171" t="s">
        <v>26</v>
      </c>
      <c r="AK84" s="171" t="s">
        <v>26</v>
      </c>
      <c r="AL84" s="171" t="s">
        <v>26</v>
      </c>
      <c r="AM84" s="171" t="s">
        <v>26</v>
      </c>
      <c r="AN84" s="171" t="s">
        <v>26</v>
      </c>
      <c r="AO84" s="171" t="s">
        <v>26</v>
      </c>
      <c r="AP84" s="171" t="s">
        <v>718</v>
      </c>
      <c r="AQ84" s="171" t="s">
        <v>718</v>
      </c>
      <c r="AR84" s="143" t="s">
        <v>719</v>
      </c>
      <c r="AS84" s="172"/>
      <c r="AT84" s="172"/>
      <c r="AU84" s="171"/>
      <c r="AV84" s="172"/>
      <c r="AW84" s="172"/>
      <c r="AX84" s="172"/>
      <c r="AY84" s="171"/>
      <c r="AZ84" s="172"/>
      <c r="BA84" s="172"/>
      <c r="BB84" s="172"/>
      <c r="BC84" s="171"/>
      <c r="BD84" s="172"/>
      <c r="BE84" s="172"/>
      <c r="BF84" s="172"/>
      <c r="BG84" s="172"/>
      <c r="BH84" s="171"/>
      <c r="BI84" s="172"/>
      <c r="BJ84" s="171"/>
      <c r="BK84" s="417">
        <v>3.42</v>
      </c>
      <c r="BL84" s="147" t="str">
        <f t="shared" si="33"/>
        <v>เพิ่มขึ้น</v>
      </c>
      <c r="BM84" s="143">
        <f t="shared" si="34"/>
        <v>1</v>
      </c>
      <c r="BN84" s="143">
        <f t="shared" si="35"/>
        <v>0</v>
      </c>
      <c r="BO84" s="175">
        <f t="shared" si="36"/>
        <v>26.6</v>
      </c>
      <c r="BP84" s="195">
        <v>21766</v>
      </c>
      <c r="BQ84" s="169"/>
      <c r="BR84" s="219"/>
    </row>
    <row r="85" spans="1:70" ht="20.25" customHeight="1" thickBot="1" x14ac:dyDescent="0.5">
      <c r="A85" s="416" t="s">
        <v>849</v>
      </c>
      <c r="B85" s="220" t="s">
        <v>26</v>
      </c>
      <c r="C85" s="187" t="s">
        <v>26</v>
      </c>
      <c r="D85" s="187" t="s">
        <v>26</v>
      </c>
      <c r="E85" s="187" t="s">
        <v>26</v>
      </c>
      <c r="F85" s="187" t="s">
        <v>26</v>
      </c>
      <c r="G85" s="187" t="s">
        <v>26</v>
      </c>
      <c r="H85" s="187" t="s">
        <v>26</v>
      </c>
      <c r="I85" s="187" t="s">
        <v>26</v>
      </c>
      <c r="J85" s="187" t="s">
        <v>26</v>
      </c>
      <c r="K85" s="187" t="s">
        <v>26</v>
      </c>
      <c r="L85" s="187" t="s">
        <v>26</v>
      </c>
      <c r="M85" s="187" t="s">
        <v>743</v>
      </c>
      <c r="N85" s="172"/>
      <c r="O85" s="172"/>
      <c r="P85" s="187"/>
      <c r="Q85" s="172"/>
      <c r="R85" s="172"/>
      <c r="S85" s="172"/>
      <c r="T85" s="187"/>
      <c r="U85" s="172"/>
      <c r="V85" s="172"/>
      <c r="W85" s="172"/>
      <c r="X85" s="187"/>
      <c r="Y85" s="172"/>
      <c r="Z85" s="172"/>
      <c r="AA85" s="172"/>
      <c r="AB85" s="172"/>
      <c r="AC85" s="187"/>
      <c r="AD85" s="172"/>
      <c r="AE85" s="187"/>
      <c r="AF85" s="187" t="s">
        <v>743</v>
      </c>
      <c r="AG85" s="220" t="s">
        <v>26</v>
      </c>
      <c r="AH85" s="187" t="s">
        <v>26</v>
      </c>
      <c r="AI85" s="187" t="s">
        <v>26</v>
      </c>
      <c r="AJ85" s="187" t="s">
        <v>26</v>
      </c>
      <c r="AK85" s="187" t="s">
        <v>26</v>
      </c>
      <c r="AL85" s="187" t="s">
        <v>26</v>
      </c>
      <c r="AM85" s="187" t="s">
        <v>26</v>
      </c>
      <c r="AN85" s="187" t="s">
        <v>26</v>
      </c>
      <c r="AO85" s="187" t="s">
        <v>26</v>
      </c>
      <c r="AP85" s="187" t="s">
        <v>26</v>
      </c>
      <c r="AQ85" s="187" t="s">
        <v>26</v>
      </c>
      <c r="AR85" s="143" t="s">
        <v>719</v>
      </c>
      <c r="AS85" s="172"/>
      <c r="AT85" s="172"/>
      <c r="AU85" s="187"/>
      <c r="AV85" s="172"/>
      <c r="AW85" s="172"/>
      <c r="AX85" s="172"/>
      <c r="AY85" s="187"/>
      <c r="AZ85" s="172"/>
      <c r="BA85" s="172"/>
      <c r="BB85" s="172"/>
      <c r="BC85" s="187"/>
      <c r="BD85" s="172"/>
      <c r="BE85" s="172"/>
      <c r="BF85" s="172"/>
      <c r="BG85" s="172"/>
      <c r="BH85" s="187"/>
      <c r="BI85" s="172"/>
      <c r="BJ85" s="187"/>
      <c r="BK85" s="417">
        <v>2.64</v>
      </c>
      <c r="BL85" s="147" t="s">
        <v>26</v>
      </c>
      <c r="BM85" s="143" t="str">
        <f t="shared" si="34"/>
        <v/>
      </c>
      <c r="BN85" s="143" t="str">
        <f t="shared" si="35"/>
        <v/>
      </c>
      <c r="BO85" s="175" t="s">
        <v>26</v>
      </c>
      <c r="BP85" s="195">
        <v>21767</v>
      </c>
      <c r="BQ85" s="169"/>
    </row>
    <row r="86" spans="1:70" ht="20.25" customHeight="1" thickBot="1" x14ac:dyDescent="0.5">
      <c r="A86" s="416" t="s">
        <v>850</v>
      </c>
      <c r="B86" s="220"/>
      <c r="C86" s="187"/>
      <c r="D86" s="187"/>
      <c r="E86" s="187"/>
      <c r="F86" s="187"/>
      <c r="G86" s="187"/>
      <c r="H86" s="187"/>
      <c r="I86" s="187"/>
      <c r="J86" s="187"/>
      <c r="K86" s="187"/>
      <c r="L86" s="187"/>
      <c r="M86" s="187"/>
      <c r="N86" s="172"/>
      <c r="O86" s="172"/>
      <c r="P86" s="187"/>
      <c r="Q86" s="172"/>
      <c r="R86" s="172"/>
      <c r="S86" s="172"/>
      <c r="T86" s="187"/>
      <c r="U86" s="172"/>
      <c r="V86" s="172"/>
      <c r="W86" s="172"/>
      <c r="X86" s="187"/>
      <c r="Y86" s="172"/>
      <c r="Z86" s="172"/>
      <c r="AA86" s="172"/>
      <c r="AB86" s="172"/>
      <c r="AC86" s="187"/>
      <c r="AD86" s="172"/>
      <c r="AE86" s="187"/>
      <c r="AF86" s="187"/>
      <c r="AG86" s="220"/>
      <c r="AH86" s="187"/>
      <c r="AI86" s="187"/>
      <c r="AJ86" s="187"/>
      <c r="AK86" s="187"/>
      <c r="AL86" s="187"/>
      <c r="AM86" s="187"/>
      <c r="AN86" s="187"/>
      <c r="AO86" s="187"/>
      <c r="AP86" s="187"/>
      <c r="AQ86" s="187"/>
      <c r="AR86" s="143" t="s">
        <v>719</v>
      </c>
      <c r="AS86" s="172"/>
      <c r="AT86" s="172"/>
      <c r="AU86" s="187"/>
      <c r="AV86" s="172"/>
      <c r="AW86" s="172"/>
      <c r="AX86" s="172"/>
      <c r="AY86" s="187"/>
      <c r="AZ86" s="172"/>
      <c r="BA86" s="172"/>
      <c r="BB86" s="172"/>
      <c r="BC86" s="187"/>
      <c r="BD86" s="172"/>
      <c r="BE86" s="172"/>
      <c r="BF86" s="172"/>
      <c r="BG86" s="172"/>
      <c r="BH86" s="187"/>
      <c r="BI86" s="172"/>
      <c r="BJ86" s="187"/>
      <c r="BK86" s="417">
        <v>2.33</v>
      </c>
      <c r="BL86" s="409"/>
      <c r="BM86" s="409"/>
      <c r="BN86" s="409"/>
      <c r="BO86" s="410"/>
      <c r="BP86" s="195"/>
      <c r="BQ86" s="169"/>
    </row>
    <row r="87" spans="1:70" ht="23.25" thickBot="1" x14ac:dyDescent="0.5">
      <c r="A87" s="422" t="s">
        <v>728</v>
      </c>
      <c r="B87" s="423"/>
      <c r="C87" s="423"/>
      <c r="D87" s="423"/>
      <c r="E87" s="423"/>
      <c r="F87" s="423"/>
      <c r="G87" s="423"/>
      <c r="H87" s="423"/>
      <c r="I87" s="423"/>
      <c r="J87" s="423"/>
      <c r="K87" s="423"/>
      <c r="L87" s="423"/>
      <c r="M87" s="423"/>
      <c r="N87" s="411"/>
      <c r="O87" s="411"/>
      <c r="P87" s="423"/>
      <c r="Q87" s="411"/>
      <c r="R87" s="411"/>
      <c r="S87" s="411"/>
      <c r="T87" s="423"/>
      <c r="U87" s="411"/>
      <c r="V87" s="411"/>
      <c r="W87" s="411"/>
      <c r="X87" s="423"/>
      <c r="Y87" s="411"/>
      <c r="Z87" s="411"/>
      <c r="AA87" s="411"/>
      <c r="AB87" s="411"/>
      <c r="AC87" s="423"/>
      <c r="AD87" s="411"/>
      <c r="AE87" s="423"/>
      <c r="AF87" s="423"/>
      <c r="AG87" s="423"/>
      <c r="AH87" s="423"/>
      <c r="AI87" s="423"/>
      <c r="AJ87" s="423"/>
      <c r="AK87" s="423"/>
      <c r="AL87" s="423"/>
      <c r="AM87" s="423"/>
      <c r="AN87" s="423"/>
      <c r="AO87" s="423"/>
      <c r="AP87" s="423"/>
      <c r="AQ87" s="423"/>
      <c r="AR87" s="423"/>
      <c r="AS87" s="411"/>
      <c r="AT87" s="411"/>
      <c r="AU87" s="423"/>
      <c r="AV87" s="411"/>
      <c r="AW87" s="411"/>
      <c r="AX87" s="411"/>
      <c r="AY87" s="423"/>
      <c r="AZ87" s="411"/>
      <c r="BA87" s="411"/>
      <c r="BB87" s="411"/>
      <c r="BC87" s="423"/>
      <c r="BD87" s="411"/>
      <c r="BE87" s="411"/>
      <c r="BF87" s="411"/>
      <c r="BG87" s="411"/>
      <c r="BH87" s="423"/>
      <c r="BI87" s="411"/>
      <c r="BJ87" s="423"/>
      <c r="BK87" s="424"/>
      <c r="BL87" s="179"/>
      <c r="BM87" s="179"/>
      <c r="BN87" s="179"/>
      <c r="BO87" s="180"/>
      <c r="BP87" s="206"/>
      <c r="BQ87" s="181"/>
    </row>
    <row r="88" spans="1:70" ht="19.5" customHeight="1" thickBot="1" x14ac:dyDescent="0.5">
      <c r="A88" s="416" t="s">
        <v>851</v>
      </c>
      <c r="B88" s="212" t="s">
        <v>718</v>
      </c>
      <c r="C88" s="212" t="s">
        <v>718</v>
      </c>
      <c r="D88" s="212" t="s">
        <v>718</v>
      </c>
      <c r="E88" s="212" t="s">
        <v>718</v>
      </c>
      <c r="F88" s="212" t="s">
        <v>718</v>
      </c>
      <c r="G88" s="212" t="s">
        <v>718</v>
      </c>
      <c r="H88" s="212" t="s">
        <v>718</v>
      </c>
      <c r="I88" s="212" t="s">
        <v>718</v>
      </c>
      <c r="J88" s="211" t="s">
        <v>773</v>
      </c>
      <c r="K88" s="211" t="s">
        <v>773</v>
      </c>
      <c r="L88" s="212" t="s">
        <v>718</v>
      </c>
      <c r="M88" s="212" t="s">
        <v>769</v>
      </c>
      <c r="N88" s="212"/>
      <c r="O88" s="212"/>
      <c r="P88" s="212"/>
      <c r="Q88" s="212"/>
      <c r="R88" s="212"/>
      <c r="S88" s="212"/>
      <c r="T88" s="212"/>
      <c r="U88" s="212"/>
      <c r="V88" s="212"/>
      <c r="W88" s="212"/>
      <c r="X88" s="212"/>
      <c r="Y88" s="212"/>
      <c r="Z88" s="212"/>
      <c r="AA88" s="212"/>
      <c r="AB88" s="212"/>
      <c r="AC88" s="212"/>
      <c r="AD88" s="212"/>
      <c r="AE88" s="212"/>
      <c r="AF88" s="221">
        <v>0</v>
      </c>
      <c r="AG88" s="212" t="s">
        <v>718</v>
      </c>
      <c r="AH88" s="212" t="s">
        <v>718</v>
      </c>
      <c r="AI88" s="212" t="s">
        <v>718</v>
      </c>
      <c r="AJ88" s="212" t="s">
        <v>718</v>
      </c>
      <c r="AK88" s="212" t="s">
        <v>718</v>
      </c>
      <c r="AL88" s="212" t="s">
        <v>718</v>
      </c>
      <c r="AM88" s="212" t="s">
        <v>718</v>
      </c>
      <c r="AN88" s="212" t="s">
        <v>718</v>
      </c>
      <c r="AO88" s="211" t="s">
        <v>773</v>
      </c>
      <c r="AP88" s="211" t="s">
        <v>773</v>
      </c>
      <c r="AQ88" s="212" t="s">
        <v>718</v>
      </c>
      <c r="AR88" s="143" t="s">
        <v>719</v>
      </c>
      <c r="AS88" s="213"/>
      <c r="AT88" s="213"/>
      <c r="AU88" s="214"/>
      <c r="AV88" s="213"/>
      <c r="AW88" s="213"/>
      <c r="AX88" s="213"/>
      <c r="AY88" s="214"/>
      <c r="AZ88" s="213"/>
      <c r="BA88" s="213"/>
      <c r="BB88" s="213"/>
      <c r="BC88" s="214"/>
      <c r="BD88" s="213"/>
      <c r="BE88" s="213"/>
      <c r="BF88" s="213"/>
      <c r="BG88" s="213"/>
      <c r="BH88" s="214"/>
      <c r="BI88" s="213"/>
      <c r="BJ88" s="214"/>
      <c r="BK88" s="417">
        <v>3.07</v>
      </c>
      <c r="BL88" s="147" t="str">
        <f t="shared" ref="BL88:BL100" si="37">IF(AF88="ไม่ประเมิน","คงที่",IF(AF88&lt;BK88,"เพิ่มขึ้น",IF(AF88&gt;BK88,"ลดลง",IF(AF88=BK88,"คงที่",""))))</f>
        <v>เพิ่มขึ้น</v>
      </c>
      <c r="BM88" s="143">
        <f t="shared" ref="BM88:BM96" si="38">IF(BL88="-","",IF(BL88="เพิ่มขึ้น",1,IF(BL88="ลดลง",0)))</f>
        <v>1</v>
      </c>
      <c r="BN88" s="143">
        <f t="shared" ref="BN88:BN96" si="39">IF(BL88="-","",IF(BL88="เพิ่มขึ้น",0,IF(BL88="ลดลง",1)))</f>
        <v>0</v>
      </c>
      <c r="BO88" s="175">
        <f t="shared" ref="BO88:BO90" si="40">SUM(BK88-AF88)/5*100</f>
        <v>61.4</v>
      </c>
      <c r="BP88" s="195">
        <v>21766</v>
      </c>
      <c r="BQ88" s="169"/>
    </row>
    <row r="89" spans="1:70" ht="19.5" customHeight="1" thickBot="1" x14ac:dyDescent="0.5">
      <c r="A89" s="416" t="s">
        <v>852</v>
      </c>
      <c r="B89" s="212" t="s">
        <v>718</v>
      </c>
      <c r="C89" s="212" t="s">
        <v>718</v>
      </c>
      <c r="D89" s="212" t="s">
        <v>718</v>
      </c>
      <c r="E89" s="212" t="s">
        <v>718</v>
      </c>
      <c r="F89" s="212" t="s">
        <v>718</v>
      </c>
      <c r="G89" s="212" t="s">
        <v>718</v>
      </c>
      <c r="H89" s="212" t="s">
        <v>718</v>
      </c>
      <c r="I89" s="212" t="s">
        <v>718</v>
      </c>
      <c r="J89" s="211" t="s">
        <v>773</v>
      </c>
      <c r="K89" s="211" t="s">
        <v>773</v>
      </c>
      <c r="L89" s="212" t="s">
        <v>718</v>
      </c>
      <c r="M89" s="212" t="s">
        <v>769</v>
      </c>
      <c r="N89" s="212"/>
      <c r="O89" s="212"/>
      <c r="P89" s="212"/>
      <c r="Q89" s="212"/>
      <c r="R89" s="212"/>
      <c r="S89" s="212"/>
      <c r="T89" s="212"/>
      <c r="U89" s="212"/>
      <c r="V89" s="212"/>
      <c r="W89" s="212"/>
      <c r="X89" s="212"/>
      <c r="Y89" s="212"/>
      <c r="Z89" s="212"/>
      <c r="AA89" s="212"/>
      <c r="AB89" s="212"/>
      <c r="AC89" s="212"/>
      <c r="AD89" s="212"/>
      <c r="AE89" s="212"/>
      <c r="AF89" s="221">
        <v>0</v>
      </c>
      <c r="AG89" s="212" t="s">
        <v>718</v>
      </c>
      <c r="AH89" s="212" t="s">
        <v>718</v>
      </c>
      <c r="AI89" s="212" t="s">
        <v>718</v>
      </c>
      <c r="AJ89" s="212" t="s">
        <v>718</v>
      </c>
      <c r="AK89" s="212" t="s">
        <v>718</v>
      </c>
      <c r="AL89" s="212" t="s">
        <v>718</v>
      </c>
      <c r="AM89" s="212" t="s">
        <v>718</v>
      </c>
      <c r="AN89" s="212" t="s">
        <v>718</v>
      </c>
      <c r="AO89" s="211" t="s">
        <v>773</v>
      </c>
      <c r="AP89" s="211" t="s">
        <v>773</v>
      </c>
      <c r="AQ89" s="212" t="s">
        <v>718</v>
      </c>
      <c r="AR89" s="143" t="s">
        <v>719</v>
      </c>
      <c r="AS89" s="213"/>
      <c r="AT89" s="213"/>
      <c r="AU89" s="214"/>
      <c r="AV89" s="213"/>
      <c r="AW89" s="213"/>
      <c r="AX89" s="213"/>
      <c r="AY89" s="214"/>
      <c r="AZ89" s="213"/>
      <c r="BA89" s="213"/>
      <c r="BB89" s="213"/>
      <c r="BC89" s="214"/>
      <c r="BD89" s="213"/>
      <c r="BE89" s="213"/>
      <c r="BF89" s="213"/>
      <c r="BG89" s="213"/>
      <c r="BH89" s="214"/>
      <c r="BI89" s="213"/>
      <c r="BJ89" s="214"/>
      <c r="BK89" s="417">
        <v>2.5299999999999998</v>
      </c>
      <c r="BL89" s="147" t="str">
        <f t="shared" si="37"/>
        <v>เพิ่มขึ้น</v>
      </c>
      <c r="BM89" s="143">
        <f t="shared" si="38"/>
        <v>1</v>
      </c>
      <c r="BN89" s="143">
        <f t="shared" si="39"/>
        <v>0</v>
      </c>
      <c r="BO89" s="175">
        <f t="shared" si="40"/>
        <v>50.6</v>
      </c>
      <c r="BP89" s="195">
        <v>21766</v>
      </c>
      <c r="BQ89" s="169"/>
    </row>
    <row r="90" spans="1:70" ht="17.25" customHeight="1" thickBot="1" x14ac:dyDescent="0.5">
      <c r="A90" s="416" t="s">
        <v>853</v>
      </c>
      <c r="B90" s="171" t="s">
        <v>718</v>
      </c>
      <c r="C90" s="171" t="s">
        <v>718</v>
      </c>
      <c r="D90" s="171" t="s">
        <v>718</v>
      </c>
      <c r="E90" s="171" t="s">
        <v>718</v>
      </c>
      <c r="F90" s="171" t="s">
        <v>718</v>
      </c>
      <c r="G90" s="171" t="s">
        <v>718</v>
      </c>
      <c r="H90" s="171" t="s">
        <v>718</v>
      </c>
      <c r="I90" s="171" t="s">
        <v>718</v>
      </c>
      <c r="J90" s="171" t="s">
        <v>718</v>
      </c>
      <c r="K90" s="171" t="s">
        <v>718</v>
      </c>
      <c r="L90" s="171" t="s">
        <v>718</v>
      </c>
      <c r="M90" s="171" t="s">
        <v>719</v>
      </c>
      <c r="N90" s="172"/>
      <c r="O90" s="172"/>
      <c r="P90" s="171"/>
      <c r="Q90" s="172"/>
      <c r="R90" s="172"/>
      <c r="S90" s="172"/>
      <c r="T90" s="171"/>
      <c r="U90" s="172"/>
      <c r="V90" s="172"/>
      <c r="W90" s="172"/>
      <c r="X90" s="171"/>
      <c r="Y90" s="172"/>
      <c r="Z90" s="172"/>
      <c r="AA90" s="172"/>
      <c r="AB90" s="172"/>
      <c r="AC90" s="171"/>
      <c r="AD90" s="172"/>
      <c r="AE90" s="171"/>
      <c r="AF90" s="173">
        <v>2.9</v>
      </c>
      <c r="AG90" s="171" t="s">
        <v>718</v>
      </c>
      <c r="AH90" s="171" t="s">
        <v>718</v>
      </c>
      <c r="AI90" s="171" t="s">
        <v>718</v>
      </c>
      <c r="AJ90" s="171" t="s">
        <v>718</v>
      </c>
      <c r="AK90" s="171" t="s">
        <v>718</v>
      </c>
      <c r="AL90" s="171" t="s">
        <v>718</v>
      </c>
      <c r="AM90" s="171" t="s">
        <v>718</v>
      </c>
      <c r="AN90" s="171" t="s">
        <v>718</v>
      </c>
      <c r="AO90" s="171" t="s">
        <v>718</v>
      </c>
      <c r="AP90" s="171" t="s">
        <v>718</v>
      </c>
      <c r="AQ90" s="171" t="s">
        <v>718</v>
      </c>
      <c r="AR90" s="143" t="s">
        <v>719</v>
      </c>
      <c r="AS90" s="209"/>
      <c r="AT90" s="209"/>
      <c r="AU90" s="209"/>
      <c r="AV90" s="209"/>
      <c r="AW90" s="209"/>
      <c r="AX90" s="209"/>
      <c r="AY90" s="209"/>
      <c r="AZ90" s="209"/>
      <c r="BA90" s="209"/>
      <c r="BB90" s="209"/>
      <c r="BC90" s="209"/>
      <c r="BD90" s="209"/>
      <c r="BE90" s="209"/>
      <c r="BF90" s="209"/>
      <c r="BG90" s="209"/>
      <c r="BH90" s="209"/>
      <c r="BI90" s="209"/>
      <c r="BJ90" s="209"/>
      <c r="BK90" s="417">
        <v>2.58</v>
      </c>
      <c r="BL90" s="245" t="str">
        <f t="shared" si="37"/>
        <v>ลดลง</v>
      </c>
      <c r="BM90" s="143">
        <f t="shared" si="38"/>
        <v>0</v>
      </c>
      <c r="BN90" s="143">
        <f t="shared" si="39"/>
        <v>1</v>
      </c>
      <c r="BO90" s="210">
        <f t="shared" si="40"/>
        <v>-6.3999999999999977</v>
      </c>
      <c r="BP90" s="195">
        <v>21767</v>
      </c>
      <c r="BQ90" s="169"/>
    </row>
    <row r="91" spans="1:70" ht="17.25" customHeight="1" thickBot="1" x14ac:dyDescent="0.5">
      <c r="A91" s="416" t="s">
        <v>854</v>
      </c>
      <c r="B91" s="171"/>
      <c r="C91" s="171"/>
      <c r="D91" s="171"/>
      <c r="E91" s="171"/>
      <c r="F91" s="171"/>
      <c r="G91" s="171"/>
      <c r="H91" s="171"/>
      <c r="I91" s="171"/>
      <c r="J91" s="171"/>
      <c r="K91" s="171"/>
      <c r="L91" s="171"/>
      <c r="M91" s="171"/>
      <c r="N91" s="172"/>
      <c r="O91" s="172"/>
      <c r="P91" s="171"/>
      <c r="Q91" s="172"/>
      <c r="R91" s="172"/>
      <c r="S91" s="172"/>
      <c r="T91" s="171"/>
      <c r="U91" s="172"/>
      <c r="V91" s="172"/>
      <c r="W91" s="172"/>
      <c r="X91" s="171"/>
      <c r="Y91" s="172"/>
      <c r="Z91" s="172"/>
      <c r="AA91" s="172"/>
      <c r="AB91" s="172"/>
      <c r="AC91" s="171"/>
      <c r="AD91" s="172"/>
      <c r="AE91" s="171"/>
      <c r="AF91" s="173"/>
      <c r="AG91" s="171"/>
      <c r="AH91" s="171"/>
      <c r="AI91" s="171"/>
      <c r="AJ91" s="171"/>
      <c r="AK91" s="171"/>
      <c r="AL91" s="171"/>
      <c r="AM91" s="171"/>
      <c r="AN91" s="171"/>
      <c r="AO91" s="171"/>
      <c r="AP91" s="171"/>
      <c r="AQ91" s="171"/>
      <c r="AR91" s="143" t="s">
        <v>719</v>
      </c>
      <c r="AS91" s="209"/>
      <c r="AT91" s="209"/>
      <c r="AU91" s="209"/>
      <c r="AV91" s="209"/>
      <c r="AW91" s="209"/>
      <c r="AX91" s="209"/>
      <c r="AY91" s="209"/>
      <c r="AZ91" s="209"/>
      <c r="BA91" s="209"/>
      <c r="BB91" s="209"/>
      <c r="BC91" s="209"/>
      <c r="BD91" s="209"/>
      <c r="BE91" s="209"/>
      <c r="BF91" s="209"/>
      <c r="BG91" s="209"/>
      <c r="BH91" s="209"/>
      <c r="BI91" s="209"/>
      <c r="BJ91" s="209"/>
      <c r="BK91" s="417">
        <v>3.4</v>
      </c>
      <c r="BL91" s="245"/>
      <c r="BM91" s="143"/>
      <c r="BN91" s="143"/>
      <c r="BO91" s="210"/>
      <c r="BP91" s="195"/>
      <c r="BQ91" s="169"/>
    </row>
    <row r="92" spans="1:70" ht="17.25" customHeight="1" thickBot="1" x14ac:dyDescent="0.5">
      <c r="A92" s="416" t="s">
        <v>855</v>
      </c>
      <c r="B92" s="171"/>
      <c r="C92" s="171"/>
      <c r="D92" s="171"/>
      <c r="E92" s="171"/>
      <c r="F92" s="171"/>
      <c r="G92" s="171"/>
      <c r="H92" s="171"/>
      <c r="I92" s="171"/>
      <c r="J92" s="171"/>
      <c r="K92" s="171"/>
      <c r="L92" s="171"/>
      <c r="M92" s="171"/>
      <c r="N92" s="172"/>
      <c r="O92" s="172"/>
      <c r="P92" s="171"/>
      <c r="Q92" s="172"/>
      <c r="R92" s="172"/>
      <c r="S92" s="172"/>
      <c r="T92" s="171"/>
      <c r="U92" s="172"/>
      <c r="V92" s="172"/>
      <c r="W92" s="172"/>
      <c r="X92" s="171"/>
      <c r="Y92" s="172"/>
      <c r="Z92" s="172"/>
      <c r="AA92" s="172"/>
      <c r="AB92" s="172"/>
      <c r="AC92" s="171"/>
      <c r="AD92" s="172"/>
      <c r="AE92" s="171"/>
      <c r="AF92" s="173"/>
      <c r="AG92" s="171"/>
      <c r="AH92" s="171"/>
      <c r="AI92" s="171"/>
      <c r="AJ92" s="171"/>
      <c r="AK92" s="171"/>
      <c r="AL92" s="171"/>
      <c r="AM92" s="171"/>
      <c r="AN92" s="171"/>
      <c r="AO92" s="171"/>
      <c r="AP92" s="171"/>
      <c r="AQ92" s="171"/>
      <c r="AR92" s="143" t="s">
        <v>719</v>
      </c>
      <c r="AS92" s="172"/>
      <c r="AT92" s="172"/>
      <c r="AU92" s="171"/>
      <c r="AV92" s="172"/>
      <c r="AW92" s="172"/>
      <c r="AX92" s="172"/>
      <c r="AY92" s="171"/>
      <c r="AZ92" s="172"/>
      <c r="BA92" s="172"/>
      <c r="BB92" s="172"/>
      <c r="BC92" s="171"/>
      <c r="BD92" s="172"/>
      <c r="BE92" s="172"/>
      <c r="BF92" s="172"/>
      <c r="BG92" s="172"/>
      <c r="BH92" s="171"/>
      <c r="BI92" s="172"/>
      <c r="BJ92" s="171"/>
      <c r="BK92" s="417">
        <v>2.93</v>
      </c>
      <c r="BL92" s="245"/>
      <c r="BM92" s="143"/>
      <c r="BN92" s="143"/>
      <c r="BO92" s="210"/>
      <c r="BP92" s="195"/>
      <c r="BQ92" s="169"/>
    </row>
    <row r="93" spans="1:70" ht="17.25" customHeight="1" thickBot="1" x14ac:dyDescent="0.5">
      <c r="A93" s="412" t="s">
        <v>856</v>
      </c>
      <c r="B93" s="413"/>
      <c r="C93" s="413"/>
      <c r="D93" s="413"/>
      <c r="E93" s="413"/>
      <c r="F93" s="413"/>
      <c r="G93" s="413"/>
      <c r="H93" s="413"/>
      <c r="I93" s="413"/>
      <c r="J93" s="413"/>
      <c r="K93" s="413"/>
      <c r="L93" s="413"/>
      <c r="M93" s="413"/>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5"/>
      <c r="BL93" s="245"/>
      <c r="BM93" s="143"/>
      <c r="BN93" s="143"/>
      <c r="BO93" s="210"/>
      <c r="BP93" s="195"/>
      <c r="BQ93" s="169"/>
    </row>
    <row r="94" spans="1:70" ht="17.25" customHeight="1" thickBot="1" x14ac:dyDescent="0.5">
      <c r="A94" s="418" t="s">
        <v>716</v>
      </c>
      <c r="B94" s="419"/>
      <c r="C94" s="419"/>
      <c r="D94" s="419"/>
      <c r="E94" s="419"/>
      <c r="F94" s="419"/>
      <c r="G94" s="419"/>
      <c r="H94" s="419"/>
      <c r="I94" s="419"/>
      <c r="J94" s="419"/>
      <c r="K94" s="419"/>
      <c r="L94" s="419"/>
      <c r="M94" s="419"/>
      <c r="N94" s="420"/>
      <c r="O94" s="420"/>
      <c r="P94" s="419"/>
      <c r="Q94" s="420"/>
      <c r="R94" s="420"/>
      <c r="S94" s="420"/>
      <c r="T94" s="419"/>
      <c r="U94" s="420"/>
      <c r="V94" s="420"/>
      <c r="W94" s="420"/>
      <c r="X94" s="419"/>
      <c r="Y94" s="420"/>
      <c r="Z94" s="420"/>
      <c r="AA94" s="420"/>
      <c r="AB94" s="420"/>
      <c r="AC94" s="419"/>
      <c r="AD94" s="420"/>
      <c r="AE94" s="419"/>
      <c r="AF94" s="419"/>
      <c r="AG94" s="419"/>
      <c r="AH94" s="419"/>
      <c r="AI94" s="419"/>
      <c r="AJ94" s="419"/>
      <c r="AK94" s="419"/>
      <c r="AL94" s="419"/>
      <c r="AM94" s="419"/>
      <c r="AN94" s="419"/>
      <c r="AO94" s="419"/>
      <c r="AP94" s="419"/>
      <c r="AQ94" s="419"/>
      <c r="AR94" s="419"/>
      <c r="AS94" s="420"/>
      <c r="AT94" s="420"/>
      <c r="AU94" s="419"/>
      <c r="AV94" s="420"/>
      <c r="AW94" s="420"/>
      <c r="AX94" s="420"/>
      <c r="AY94" s="419"/>
      <c r="AZ94" s="420"/>
      <c r="BA94" s="420"/>
      <c r="BB94" s="420"/>
      <c r="BC94" s="419"/>
      <c r="BD94" s="420"/>
      <c r="BE94" s="420"/>
      <c r="BF94" s="420"/>
      <c r="BG94" s="420"/>
      <c r="BH94" s="419"/>
      <c r="BI94" s="420"/>
      <c r="BJ94" s="419"/>
      <c r="BK94" s="421"/>
      <c r="BL94" s="245"/>
      <c r="BM94" s="143"/>
      <c r="BN94" s="143"/>
      <c r="BO94" s="210"/>
      <c r="BP94" s="195"/>
      <c r="BQ94" s="169"/>
    </row>
    <row r="95" spans="1:70" ht="17.25" customHeight="1" thickBot="1" x14ac:dyDescent="0.5">
      <c r="A95" s="416" t="s">
        <v>857</v>
      </c>
      <c r="B95" s="171" t="s">
        <v>718</v>
      </c>
      <c r="C95" s="171" t="s">
        <v>718</v>
      </c>
      <c r="D95" s="171" t="s">
        <v>26</v>
      </c>
      <c r="E95" s="171" t="s">
        <v>26</v>
      </c>
      <c r="F95" s="171" t="s">
        <v>26</v>
      </c>
      <c r="G95" s="171" t="s">
        <v>26</v>
      </c>
      <c r="H95" s="171" t="s">
        <v>26</v>
      </c>
      <c r="I95" s="171" t="s">
        <v>26</v>
      </c>
      <c r="J95" s="171" t="s">
        <v>26</v>
      </c>
      <c r="K95" s="171" t="s">
        <v>718</v>
      </c>
      <c r="L95" s="171" t="s">
        <v>718</v>
      </c>
      <c r="M95" s="171" t="s">
        <v>719</v>
      </c>
      <c r="N95" s="172"/>
      <c r="O95" s="172"/>
      <c r="P95" s="171"/>
      <c r="Q95" s="172"/>
      <c r="R95" s="172"/>
      <c r="S95" s="172"/>
      <c r="T95" s="171"/>
      <c r="U95" s="172"/>
      <c r="V95" s="172"/>
      <c r="W95" s="172"/>
      <c r="X95" s="171"/>
      <c r="Y95" s="172"/>
      <c r="Z95" s="172"/>
      <c r="AA95" s="172"/>
      <c r="AB95" s="172"/>
      <c r="AC95" s="171"/>
      <c r="AD95" s="172"/>
      <c r="AE95" s="171"/>
      <c r="AF95" s="171">
        <v>2.38</v>
      </c>
      <c r="AG95" s="171" t="s">
        <v>718</v>
      </c>
      <c r="AH95" s="171" t="s">
        <v>718</v>
      </c>
      <c r="AI95" s="171" t="s">
        <v>26</v>
      </c>
      <c r="AJ95" s="171" t="s">
        <v>26</v>
      </c>
      <c r="AK95" s="171" t="s">
        <v>26</v>
      </c>
      <c r="AL95" s="171" t="s">
        <v>26</v>
      </c>
      <c r="AM95" s="171" t="s">
        <v>26</v>
      </c>
      <c r="AN95" s="171" t="s">
        <v>26</v>
      </c>
      <c r="AO95" s="171" t="s">
        <v>26</v>
      </c>
      <c r="AP95" s="171" t="s">
        <v>718</v>
      </c>
      <c r="AQ95" s="171" t="s">
        <v>718</v>
      </c>
      <c r="AR95" s="143" t="s">
        <v>719</v>
      </c>
      <c r="AS95" s="172"/>
      <c r="AT95" s="172"/>
      <c r="AU95" s="171"/>
      <c r="AV95" s="172"/>
      <c r="AW95" s="172"/>
      <c r="AX95" s="172"/>
      <c r="AY95" s="171"/>
      <c r="AZ95" s="172"/>
      <c r="BA95" s="172"/>
      <c r="BB95" s="172"/>
      <c r="BC95" s="171"/>
      <c r="BD95" s="172"/>
      <c r="BE95" s="172"/>
      <c r="BF95" s="172"/>
      <c r="BG95" s="172"/>
      <c r="BH95" s="171"/>
      <c r="BI95" s="172"/>
      <c r="BJ95" s="171"/>
      <c r="BK95" s="417">
        <v>3.37</v>
      </c>
      <c r="BL95" s="245"/>
      <c r="BM95" s="143"/>
      <c r="BN95" s="143"/>
      <c r="BO95" s="210"/>
      <c r="BP95" s="195"/>
      <c r="BQ95" s="169"/>
    </row>
    <row r="96" spans="1:70" ht="21" customHeight="1" thickBot="1" x14ac:dyDescent="0.5">
      <c r="A96" s="416" t="s">
        <v>858</v>
      </c>
      <c r="B96" s="171" t="s">
        <v>718</v>
      </c>
      <c r="C96" s="171" t="s">
        <v>718</v>
      </c>
      <c r="D96" s="171" t="s">
        <v>26</v>
      </c>
      <c r="E96" s="171" t="s">
        <v>26</v>
      </c>
      <c r="F96" s="171" t="s">
        <v>26</v>
      </c>
      <c r="G96" s="171" t="s">
        <v>26</v>
      </c>
      <c r="H96" s="171" t="s">
        <v>26</v>
      </c>
      <c r="I96" s="171" t="s">
        <v>26</v>
      </c>
      <c r="J96" s="171" t="s">
        <v>26</v>
      </c>
      <c r="K96" s="171" t="s">
        <v>718</v>
      </c>
      <c r="L96" s="171" t="s">
        <v>718</v>
      </c>
      <c r="M96" s="171" t="s">
        <v>719</v>
      </c>
      <c r="N96" s="172"/>
      <c r="O96" s="172"/>
      <c r="P96" s="171"/>
      <c r="Q96" s="172"/>
      <c r="R96" s="172"/>
      <c r="S96" s="172"/>
      <c r="T96" s="171"/>
      <c r="U96" s="172"/>
      <c r="V96" s="172"/>
      <c r="W96" s="172"/>
      <c r="X96" s="171"/>
      <c r="Y96" s="172"/>
      <c r="Z96" s="172"/>
      <c r="AA96" s="172"/>
      <c r="AB96" s="172"/>
      <c r="AC96" s="171"/>
      <c r="AD96" s="172"/>
      <c r="AE96" s="171"/>
      <c r="AF96" s="214">
        <v>2.09</v>
      </c>
      <c r="AG96" s="171" t="s">
        <v>718</v>
      </c>
      <c r="AH96" s="171" t="s">
        <v>718</v>
      </c>
      <c r="AI96" s="171" t="s">
        <v>26</v>
      </c>
      <c r="AJ96" s="171" t="s">
        <v>26</v>
      </c>
      <c r="AK96" s="171" t="s">
        <v>26</v>
      </c>
      <c r="AL96" s="171" t="s">
        <v>26</v>
      </c>
      <c r="AM96" s="171" t="s">
        <v>26</v>
      </c>
      <c r="AN96" s="171" t="s">
        <v>26</v>
      </c>
      <c r="AO96" s="171" t="s">
        <v>26</v>
      </c>
      <c r="AP96" s="171" t="s">
        <v>718</v>
      </c>
      <c r="AQ96" s="171" t="s">
        <v>718</v>
      </c>
      <c r="AR96" s="143" t="s">
        <v>719</v>
      </c>
      <c r="AS96" s="172"/>
      <c r="AT96" s="172"/>
      <c r="AU96" s="171"/>
      <c r="AV96" s="172"/>
      <c r="AW96" s="172"/>
      <c r="AX96" s="172"/>
      <c r="AY96" s="171"/>
      <c r="AZ96" s="172"/>
      <c r="BA96" s="172"/>
      <c r="BB96" s="172"/>
      <c r="BC96" s="171"/>
      <c r="BD96" s="172"/>
      <c r="BE96" s="172"/>
      <c r="BF96" s="172"/>
      <c r="BG96" s="172"/>
      <c r="BH96" s="171"/>
      <c r="BI96" s="172"/>
      <c r="BJ96" s="171"/>
      <c r="BK96" s="417">
        <v>2.85</v>
      </c>
      <c r="BL96" s="242" t="str">
        <f>IF(AF96="ไม่ประเมิน","คงที่",IF(AF96&lt;BK92,"เพิ่มขึ้น",IF(AF96&gt;BK92,"ลดลง",IF(AF96=BK92,"คงที่",""))))</f>
        <v>เพิ่มขึ้น</v>
      </c>
      <c r="BM96" s="143">
        <f t="shared" si="38"/>
        <v>1</v>
      </c>
      <c r="BN96" s="143">
        <f t="shared" si="39"/>
        <v>0</v>
      </c>
      <c r="BO96" s="175">
        <f>SUM(BK92-AF96)/5*100</f>
        <v>16.800000000000008</v>
      </c>
      <c r="BP96" s="195">
        <v>21767</v>
      </c>
      <c r="BQ96" s="169"/>
      <c r="BR96" s="219"/>
    </row>
    <row r="97" spans="1:69" ht="20.25" customHeight="1" thickBot="1" x14ac:dyDescent="0.5">
      <c r="A97" s="491" t="s">
        <v>859</v>
      </c>
      <c r="B97" s="491"/>
      <c r="C97" s="491"/>
      <c r="D97" s="491"/>
      <c r="E97" s="491"/>
      <c r="F97" s="491"/>
      <c r="G97" s="491"/>
      <c r="H97" s="491"/>
      <c r="I97" s="491"/>
      <c r="J97" s="491"/>
      <c r="K97" s="491"/>
      <c r="L97" s="491"/>
      <c r="M97" s="491"/>
      <c r="N97" s="425"/>
      <c r="O97" s="425"/>
      <c r="P97" s="426"/>
      <c r="Q97" s="425"/>
      <c r="R97" s="425"/>
      <c r="S97" s="425"/>
      <c r="T97" s="426"/>
      <c r="U97" s="425"/>
      <c r="V97" s="425"/>
      <c r="W97" s="425"/>
      <c r="X97" s="426"/>
      <c r="Y97" s="425"/>
      <c r="Z97" s="425"/>
      <c r="AA97" s="425"/>
      <c r="AB97" s="425"/>
      <c r="AC97" s="426"/>
      <c r="AD97" s="425"/>
      <c r="AE97" s="426"/>
      <c r="AF97" s="427">
        <f>SUM(AF83:AF85,AF88:AF96)/6</f>
        <v>1.9733333333333334</v>
      </c>
      <c r="AG97" s="217"/>
      <c r="AH97" s="217"/>
      <c r="AI97" s="217"/>
      <c r="AJ97" s="217"/>
      <c r="AK97" s="217"/>
      <c r="AL97" s="217"/>
      <c r="AM97" s="217"/>
      <c r="AN97" s="217"/>
      <c r="AO97" s="217"/>
      <c r="AP97" s="217"/>
      <c r="AQ97" s="217"/>
      <c r="AR97" s="222"/>
      <c r="AS97" s="425"/>
      <c r="AT97" s="425"/>
      <c r="AU97" s="426"/>
      <c r="AV97" s="425"/>
      <c r="AW97" s="425"/>
      <c r="AX97" s="425"/>
      <c r="AY97" s="426"/>
      <c r="AZ97" s="425"/>
      <c r="BA97" s="425"/>
      <c r="BB97" s="425"/>
      <c r="BC97" s="426"/>
      <c r="BD97" s="425"/>
      <c r="BE97" s="425"/>
      <c r="BF97" s="425"/>
      <c r="BG97" s="425"/>
      <c r="BH97" s="426"/>
      <c r="BI97" s="425"/>
      <c r="BJ97" s="426"/>
      <c r="BK97" s="427">
        <v>3.11</v>
      </c>
      <c r="BL97" s="243" t="str">
        <f t="shared" si="37"/>
        <v>เพิ่มขึ้น</v>
      </c>
      <c r="BM97" s="198"/>
      <c r="BN97" s="198"/>
      <c r="BO97" s="184"/>
      <c r="BP97" s="199"/>
      <c r="BQ97" s="161"/>
    </row>
    <row r="98" spans="1:69" ht="21.75" customHeight="1" x14ac:dyDescent="0.45">
      <c r="A98" s="490" t="s">
        <v>786</v>
      </c>
      <c r="B98" s="490"/>
      <c r="C98" s="490"/>
      <c r="D98" s="490"/>
      <c r="E98" s="490"/>
      <c r="F98" s="490"/>
      <c r="G98" s="490"/>
      <c r="H98" s="490"/>
      <c r="I98" s="490"/>
      <c r="J98" s="490"/>
      <c r="K98" s="490"/>
      <c r="L98" s="490"/>
      <c r="M98" s="490"/>
      <c r="N98" s="223"/>
      <c r="O98" s="223"/>
      <c r="P98" s="224"/>
      <c r="Q98" s="223"/>
      <c r="R98" s="223"/>
      <c r="S98" s="223"/>
      <c r="T98" s="224"/>
      <c r="U98" s="223"/>
      <c r="V98" s="223"/>
      <c r="W98" s="223"/>
      <c r="X98" s="224"/>
      <c r="Y98" s="223"/>
      <c r="Z98" s="223"/>
      <c r="AA98" s="223"/>
      <c r="AB98" s="223"/>
      <c r="AC98" s="224"/>
      <c r="AD98" s="223"/>
      <c r="AE98" s="224"/>
      <c r="AF98" s="225" t="e">
        <f>SUM(AF8:AF16,AF18:AF22,AF26:AF34,#REF!,AF36,AF37,AF41:AF45,AF49:AF51,AF53,AF57:AF65,#REF!,AF69:AF79,AF83:AF85,AF88:AF96)</f>
        <v>#REF!</v>
      </c>
      <c r="AG98" s="226"/>
      <c r="AH98" s="226"/>
      <c r="AI98" s="226"/>
      <c r="AJ98" s="226"/>
      <c r="AK98" s="226"/>
      <c r="AL98" s="226"/>
      <c r="AM98" s="226"/>
      <c r="AN98" s="226"/>
      <c r="AO98" s="226"/>
      <c r="AP98" s="226"/>
      <c r="AQ98" s="226"/>
      <c r="AR98" s="227"/>
      <c r="AS98" s="223"/>
      <c r="AT98" s="223"/>
      <c r="AU98" s="224"/>
      <c r="AV98" s="223"/>
      <c r="AW98" s="223"/>
      <c r="AX98" s="223"/>
      <c r="AY98" s="224"/>
      <c r="AZ98" s="223"/>
      <c r="BA98" s="223"/>
      <c r="BB98" s="223"/>
      <c r="BC98" s="224"/>
      <c r="BD98" s="223"/>
      <c r="BE98" s="223"/>
      <c r="BF98" s="223"/>
      <c r="BG98" s="223"/>
      <c r="BH98" s="224"/>
      <c r="BI98" s="223"/>
      <c r="BJ98" s="224"/>
      <c r="BK98" s="228">
        <v>209.37</v>
      </c>
      <c r="BL98" s="246" t="e">
        <f t="shared" si="37"/>
        <v>#REF!</v>
      </c>
      <c r="BM98" s="229"/>
      <c r="BN98" s="229"/>
      <c r="BO98" s="230"/>
      <c r="BP98" s="231"/>
      <c r="BQ98" s="232"/>
    </row>
    <row r="99" spans="1:69" ht="18" customHeight="1" x14ac:dyDescent="0.45">
      <c r="A99" s="490" t="s">
        <v>787</v>
      </c>
      <c r="B99" s="490"/>
      <c r="C99" s="490"/>
      <c r="D99" s="490"/>
      <c r="E99" s="490"/>
      <c r="F99" s="490"/>
      <c r="G99" s="490"/>
      <c r="H99" s="490"/>
      <c r="I99" s="490"/>
      <c r="J99" s="490"/>
      <c r="K99" s="490"/>
      <c r="L99" s="490"/>
      <c r="M99" s="490"/>
      <c r="N99" s="233"/>
      <c r="O99" s="233"/>
      <c r="P99" s="234"/>
      <c r="Q99" s="233"/>
      <c r="R99" s="233"/>
      <c r="S99" s="233"/>
      <c r="T99" s="234"/>
      <c r="U99" s="233"/>
      <c r="V99" s="233"/>
      <c r="W99" s="233"/>
      <c r="X99" s="234"/>
      <c r="Y99" s="233"/>
      <c r="Z99" s="233"/>
      <c r="AA99" s="233"/>
      <c r="AB99" s="233"/>
      <c r="AC99" s="234"/>
      <c r="AD99" s="233"/>
      <c r="AE99" s="234"/>
      <c r="AF99" s="235">
        <v>59</v>
      </c>
      <c r="AG99" s="236"/>
      <c r="AH99" s="236"/>
      <c r="AI99" s="236"/>
      <c r="AJ99" s="236"/>
      <c r="AK99" s="236"/>
      <c r="AL99" s="236"/>
      <c r="AM99" s="236"/>
      <c r="AN99" s="236"/>
      <c r="AO99" s="236"/>
      <c r="AP99" s="236"/>
      <c r="AQ99" s="236"/>
      <c r="AR99" s="237"/>
      <c r="AS99" s="233"/>
      <c r="AT99" s="233"/>
      <c r="AU99" s="234"/>
      <c r="AV99" s="233"/>
      <c r="AW99" s="233"/>
      <c r="AX99" s="233"/>
      <c r="AY99" s="234"/>
      <c r="AZ99" s="233"/>
      <c r="BA99" s="233"/>
      <c r="BB99" s="233"/>
      <c r="BC99" s="234"/>
      <c r="BD99" s="233"/>
      <c r="BE99" s="233"/>
      <c r="BF99" s="233"/>
      <c r="BG99" s="233"/>
      <c r="BH99" s="234"/>
      <c r="BI99" s="233"/>
      <c r="BJ99" s="234"/>
      <c r="BK99" s="238">
        <v>65</v>
      </c>
      <c r="BL99" s="246"/>
      <c r="BM99" s="229"/>
      <c r="BN99" s="229"/>
      <c r="BO99" s="230"/>
      <c r="BP99" s="231"/>
      <c r="BQ99" s="232"/>
    </row>
    <row r="100" spans="1:69" ht="18.75" customHeight="1" x14ac:dyDescent="0.45">
      <c r="A100" s="490" t="s">
        <v>788</v>
      </c>
      <c r="B100" s="490"/>
      <c r="C100" s="490"/>
      <c r="D100" s="490"/>
      <c r="E100" s="490"/>
      <c r="F100" s="490"/>
      <c r="G100" s="490"/>
      <c r="H100" s="490"/>
      <c r="I100" s="490"/>
      <c r="J100" s="490"/>
      <c r="K100" s="490"/>
      <c r="L100" s="490"/>
      <c r="M100" s="490"/>
      <c r="N100" s="223"/>
      <c r="O100" s="223"/>
      <c r="P100" s="224"/>
      <c r="Q100" s="223"/>
      <c r="R100" s="223"/>
      <c r="S100" s="223"/>
      <c r="T100" s="224"/>
      <c r="U100" s="223"/>
      <c r="V100" s="223"/>
      <c r="W100" s="223"/>
      <c r="X100" s="224"/>
      <c r="Y100" s="223"/>
      <c r="Z100" s="223"/>
      <c r="AA100" s="223"/>
      <c r="AB100" s="223"/>
      <c r="AC100" s="224"/>
      <c r="AD100" s="223"/>
      <c r="AE100" s="224"/>
      <c r="AF100" s="225" t="e">
        <f>SUM(AF98/AF99)</f>
        <v>#REF!</v>
      </c>
      <c r="AG100" s="247"/>
      <c r="AH100" s="247"/>
      <c r="AI100" s="247"/>
      <c r="AJ100" s="247"/>
      <c r="AK100" s="247"/>
      <c r="AL100" s="247"/>
      <c r="AM100" s="247"/>
      <c r="AN100" s="247"/>
      <c r="AO100" s="247"/>
      <c r="AP100" s="247"/>
      <c r="AQ100" s="247"/>
      <c r="AR100" s="248"/>
      <c r="AS100" s="223"/>
      <c r="AT100" s="223"/>
      <c r="AU100" s="224"/>
      <c r="AV100" s="223"/>
      <c r="AW100" s="223"/>
      <c r="AX100" s="223"/>
      <c r="AY100" s="224"/>
      <c r="AZ100" s="223"/>
      <c r="BA100" s="223"/>
      <c r="BB100" s="223"/>
      <c r="BC100" s="224"/>
      <c r="BD100" s="223"/>
      <c r="BE100" s="223"/>
      <c r="BF100" s="223"/>
      <c r="BG100" s="223"/>
      <c r="BH100" s="224"/>
      <c r="BI100" s="223"/>
      <c r="BJ100" s="224"/>
      <c r="BK100" s="228">
        <f>SUM(BK98/BK99)</f>
        <v>3.2210769230769229</v>
      </c>
      <c r="BL100" s="246" t="e">
        <f t="shared" si="37"/>
        <v>#REF!</v>
      </c>
      <c r="BM100" s="229"/>
      <c r="BN100" s="229"/>
      <c r="BO100" s="230" t="e">
        <f>SUM(BK100-AF100)/5*100</f>
        <v>#REF!</v>
      </c>
      <c r="BP100" s="231"/>
      <c r="BQ100" s="232"/>
    </row>
  </sheetData>
  <mergeCells count="40">
    <mergeCell ref="BL2:BO5"/>
    <mergeCell ref="BP2:BP5"/>
    <mergeCell ref="B3:AF3"/>
    <mergeCell ref="AG3:BK3"/>
    <mergeCell ref="B4:L4"/>
    <mergeCell ref="M4:M5"/>
    <mergeCell ref="N4:O4"/>
    <mergeCell ref="P4:P5"/>
    <mergeCell ref="AR4:AR5"/>
    <mergeCell ref="AS4:AT4"/>
    <mergeCell ref="AU4:AU5"/>
    <mergeCell ref="Q4:S4"/>
    <mergeCell ref="T4:T5"/>
    <mergeCell ref="U4:W4"/>
    <mergeCell ref="AC4:AC5"/>
    <mergeCell ref="AZ4:BB4"/>
    <mergeCell ref="A100:M100"/>
    <mergeCell ref="BJ4:BJ5"/>
    <mergeCell ref="A66:M66"/>
    <mergeCell ref="A80:M80"/>
    <mergeCell ref="A97:M97"/>
    <mergeCell ref="A98:M98"/>
    <mergeCell ref="A99:M99"/>
    <mergeCell ref="A2:A5"/>
    <mergeCell ref="B2:BK2"/>
    <mergeCell ref="BK4:BK5"/>
    <mergeCell ref="A23:M23"/>
    <mergeCell ref="A38:M38"/>
    <mergeCell ref="A46:M46"/>
    <mergeCell ref="A54:M54"/>
    <mergeCell ref="AV4:AX4"/>
    <mergeCell ref="AY4:AY5"/>
    <mergeCell ref="X4:X5"/>
    <mergeCell ref="Y4:AB4"/>
    <mergeCell ref="BC4:BC5"/>
    <mergeCell ref="BD4:BG4"/>
    <mergeCell ref="BH4:BH5"/>
    <mergeCell ref="AE4:AE5"/>
    <mergeCell ref="AF4:AF5"/>
    <mergeCell ref="AG4:AQ4"/>
  </mergeCells>
  <printOptions horizontalCentered="1"/>
  <pageMargins left="0.70866141732283472" right="0.70866141732283472" top="0.35433070866141736" bottom="0.35433070866141736" header="0.31496062992125984" footer="0.31496062992125984"/>
  <pageSetup paperSize="9" scale="93"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H16" sqref="H16"/>
    </sheetView>
  </sheetViews>
  <sheetFormatPr defaultColWidth="9.08984375" defaultRowHeight="22.5" x14ac:dyDescent="0.55000000000000004"/>
  <cols>
    <col min="1" max="1" width="4.6328125" style="136" customWidth="1"/>
    <col min="2" max="2" width="17.81640625" style="136" bestFit="1" customWidth="1"/>
    <col min="3" max="5" width="0" style="136" hidden="1" customWidth="1"/>
    <col min="6" max="7" width="9.08984375" style="136"/>
    <col min="8" max="8" width="9.08984375" style="136" customWidth="1"/>
    <col min="9" max="9" width="8.26953125" style="136" hidden="1" customWidth="1"/>
    <col min="10" max="15" width="0" style="136" hidden="1" customWidth="1"/>
    <col min="16" max="16" width="8.26953125" style="136" hidden="1" customWidth="1"/>
    <col min="17" max="17" width="0" style="136" hidden="1" customWidth="1"/>
    <col min="18" max="16384" width="9.08984375" style="136"/>
  </cols>
  <sheetData>
    <row r="1" spans="1:17" ht="24.6" customHeight="1" x14ac:dyDescent="0.55000000000000004">
      <c r="A1" s="516" t="s">
        <v>801</v>
      </c>
      <c r="B1" s="516"/>
      <c r="C1" s="516"/>
      <c r="D1" s="516"/>
      <c r="E1" s="516"/>
      <c r="F1" s="516"/>
      <c r="G1" s="516"/>
      <c r="H1" s="516"/>
    </row>
    <row r="2" spans="1:17" x14ac:dyDescent="0.55000000000000004">
      <c r="A2" s="515" t="s">
        <v>125</v>
      </c>
      <c r="B2" s="495" t="s">
        <v>682</v>
      </c>
      <c r="C2" s="515" t="s">
        <v>694</v>
      </c>
      <c r="D2" s="515"/>
      <c r="E2" s="515"/>
      <c r="F2" s="515"/>
      <c r="G2" s="515"/>
      <c r="H2" s="515"/>
      <c r="I2" s="137"/>
      <c r="J2" s="137"/>
      <c r="K2" s="137"/>
      <c r="L2" s="137"/>
      <c r="M2" s="137"/>
      <c r="N2" s="137"/>
      <c r="O2" s="137"/>
      <c r="P2" s="138"/>
      <c r="Q2" s="139"/>
    </row>
    <row r="3" spans="1:17" x14ac:dyDescent="0.55000000000000004">
      <c r="A3" s="515"/>
      <c r="B3" s="495"/>
      <c r="C3" s="515">
        <v>2557</v>
      </c>
      <c r="D3" s="515"/>
      <c r="E3" s="515"/>
      <c r="F3" s="515">
        <v>2559</v>
      </c>
      <c r="G3" s="515"/>
      <c r="H3" s="515"/>
      <c r="I3" s="514" t="s">
        <v>695</v>
      </c>
      <c r="J3" s="515"/>
      <c r="K3" s="515"/>
      <c r="L3" s="515"/>
      <c r="M3" s="515"/>
      <c r="N3" s="515"/>
      <c r="O3" s="515"/>
      <c r="P3" s="515"/>
      <c r="Q3" s="140"/>
    </row>
    <row r="4" spans="1:17" x14ac:dyDescent="0.55000000000000004">
      <c r="A4" s="515"/>
      <c r="B4" s="495"/>
      <c r="C4" s="254" t="s">
        <v>696</v>
      </c>
      <c r="D4" s="254" t="s">
        <v>697</v>
      </c>
      <c r="E4" s="254" t="s">
        <v>698</v>
      </c>
      <c r="F4" s="254" t="s">
        <v>696</v>
      </c>
      <c r="G4" s="254" t="s">
        <v>697</v>
      </c>
      <c r="H4" s="254" t="s">
        <v>698</v>
      </c>
      <c r="I4" s="146" t="s">
        <v>638</v>
      </c>
      <c r="J4" s="141" t="s">
        <v>696</v>
      </c>
      <c r="K4" s="141" t="s">
        <v>697</v>
      </c>
      <c r="L4" s="141" t="s">
        <v>696</v>
      </c>
      <c r="M4" s="141" t="s">
        <v>697</v>
      </c>
      <c r="N4" s="141" t="s">
        <v>696</v>
      </c>
      <c r="O4" s="141" t="s">
        <v>697</v>
      </c>
      <c r="P4" s="141" t="s">
        <v>698</v>
      </c>
      <c r="Q4" s="140"/>
    </row>
    <row r="5" spans="1:17" x14ac:dyDescent="0.55000000000000004">
      <c r="A5" s="142">
        <v>1</v>
      </c>
      <c r="B5" s="257" t="s">
        <v>664</v>
      </c>
      <c r="C5" s="142">
        <v>22.5</v>
      </c>
      <c r="D5" s="142">
        <v>56.5</v>
      </c>
      <c r="E5" s="256">
        <f>C5/D5*100</f>
        <v>39.823008849557525</v>
      </c>
      <c r="F5" s="142">
        <v>27</v>
      </c>
      <c r="G5" s="142">
        <v>68.5</v>
      </c>
      <c r="H5" s="256">
        <f>F5/G5*100</f>
        <v>39.416058394160586</v>
      </c>
      <c r="I5" s="147" t="str">
        <f>IF(C5="","",IF(C5&lt;H5,"เพิ่มขึ้น",IF(C5&gt;H5,"ลดลง",IF(C5=H5,"คงที่",""))))</f>
        <v>เพิ่มขึ้น</v>
      </c>
      <c r="J5" s="142"/>
      <c r="K5" s="142"/>
      <c r="L5" s="142"/>
      <c r="M5" s="142"/>
      <c r="N5" s="142"/>
      <c r="O5" s="142"/>
      <c r="P5" s="144"/>
      <c r="Q5" s="140"/>
    </row>
    <row r="6" spans="1:17" x14ac:dyDescent="0.55000000000000004">
      <c r="A6" s="142">
        <v>2</v>
      </c>
      <c r="B6" s="257" t="s">
        <v>672</v>
      </c>
      <c r="C6" s="142">
        <v>12</v>
      </c>
      <c r="D6" s="142">
        <v>64</v>
      </c>
      <c r="E6" s="256">
        <f t="shared" ref="E6:E13" si="0">C6/D6*100</f>
        <v>18.75</v>
      </c>
      <c r="F6" s="142">
        <v>15</v>
      </c>
      <c r="G6" s="142">
        <v>89</v>
      </c>
      <c r="H6" s="256">
        <f t="shared" ref="H6:H13" si="1">F6/G6*100</f>
        <v>16.853932584269664</v>
      </c>
      <c r="I6" s="147" t="str">
        <f t="shared" ref="I6:I10" si="2">IF(C6="","",IF(C6&lt;H6,"เพิ่มขึ้น",IF(C6&gt;H6,"ลดลง",IF(C6=H6,"คงที่",""))))</f>
        <v>เพิ่มขึ้น</v>
      </c>
      <c r="J6" s="142"/>
      <c r="K6" s="142"/>
      <c r="L6" s="142"/>
      <c r="M6" s="142"/>
      <c r="N6" s="142"/>
      <c r="O6" s="142"/>
      <c r="P6" s="142"/>
      <c r="Q6" s="140"/>
    </row>
    <row r="7" spans="1:17" x14ac:dyDescent="0.55000000000000004">
      <c r="A7" s="142">
        <v>3</v>
      </c>
      <c r="B7" s="257" t="s">
        <v>661</v>
      </c>
      <c r="C7" s="142">
        <v>18</v>
      </c>
      <c r="D7" s="142">
        <v>80</v>
      </c>
      <c r="E7" s="256">
        <f t="shared" si="0"/>
        <v>22.5</v>
      </c>
      <c r="F7" s="142">
        <v>29</v>
      </c>
      <c r="G7" s="142">
        <v>97</v>
      </c>
      <c r="H7" s="256">
        <f t="shared" si="1"/>
        <v>29.896907216494846</v>
      </c>
      <c r="I7" s="147" t="str">
        <f t="shared" si="2"/>
        <v>เพิ่มขึ้น</v>
      </c>
      <c r="J7" s="142"/>
      <c r="K7" s="142"/>
      <c r="L7" s="142"/>
      <c r="M7" s="142"/>
      <c r="N7" s="142"/>
      <c r="O7" s="142"/>
      <c r="P7" s="142"/>
      <c r="Q7" s="140"/>
    </row>
    <row r="8" spans="1:17" x14ac:dyDescent="0.55000000000000004">
      <c r="A8" s="142">
        <v>4</v>
      </c>
      <c r="B8" s="257" t="s">
        <v>660</v>
      </c>
      <c r="C8" s="142">
        <v>8</v>
      </c>
      <c r="D8" s="142">
        <v>33</v>
      </c>
      <c r="E8" s="256">
        <f t="shared" si="0"/>
        <v>24.242424242424242</v>
      </c>
      <c r="F8" s="142">
        <v>16</v>
      </c>
      <c r="G8" s="142">
        <v>48.5</v>
      </c>
      <c r="H8" s="256">
        <f t="shared" si="1"/>
        <v>32.989690721649481</v>
      </c>
      <c r="I8" s="147" t="str">
        <f t="shared" si="2"/>
        <v>เพิ่มขึ้น</v>
      </c>
      <c r="J8" s="142"/>
      <c r="K8" s="142"/>
      <c r="L8" s="142"/>
      <c r="M8" s="142"/>
      <c r="N8" s="142"/>
      <c r="O8" s="142"/>
      <c r="P8" s="142"/>
      <c r="Q8" s="140"/>
    </row>
    <row r="9" spans="1:17" x14ac:dyDescent="0.55000000000000004">
      <c r="A9" s="142">
        <v>5</v>
      </c>
      <c r="B9" s="257" t="s">
        <v>665</v>
      </c>
      <c r="C9" s="142">
        <v>8</v>
      </c>
      <c r="D9" s="142">
        <v>50</v>
      </c>
      <c r="E9" s="256">
        <f t="shared" si="0"/>
        <v>16</v>
      </c>
      <c r="F9" s="142">
        <v>10</v>
      </c>
      <c r="G9" s="142">
        <v>59</v>
      </c>
      <c r="H9" s="256">
        <f t="shared" si="1"/>
        <v>16.949152542372879</v>
      </c>
      <c r="I9" s="147" t="str">
        <f t="shared" si="2"/>
        <v>เพิ่มขึ้น</v>
      </c>
      <c r="J9" s="142"/>
      <c r="K9" s="142"/>
      <c r="L9" s="142"/>
      <c r="M9" s="142"/>
      <c r="N9" s="142"/>
      <c r="O9" s="142"/>
      <c r="P9" s="142"/>
      <c r="Q9" s="140"/>
    </row>
    <row r="10" spans="1:17" x14ac:dyDescent="0.55000000000000004">
      <c r="A10" s="142">
        <v>6</v>
      </c>
      <c r="B10" s="257" t="s">
        <v>662</v>
      </c>
      <c r="C10" s="142">
        <v>6</v>
      </c>
      <c r="D10" s="142">
        <v>16</v>
      </c>
      <c r="E10" s="256">
        <f t="shared" si="0"/>
        <v>37.5</v>
      </c>
      <c r="F10" s="142">
        <v>9</v>
      </c>
      <c r="G10" s="142">
        <v>22</v>
      </c>
      <c r="H10" s="256">
        <f t="shared" si="1"/>
        <v>40.909090909090914</v>
      </c>
      <c r="I10" s="147" t="str">
        <f t="shared" si="2"/>
        <v>เพิ่มขึ้น</v>
      </c>
      <c r="J10" s="142"/>
      <c r="K10" s="142"/>
      <c r="L10" s="142"/>
      <c r="M10" s="142"/>
      <c r="N10" s="142"/>
      <c r="O10" s="142"/>
      <c r="P10" s="142"/>
      <c r="Q10" s="140"/>
    </row>
    <row r="11" spans="1:17" x14ac:dyDescent="0.55000000000000004">
      <c r="A11" s="403">
        <v>7</v>
      </c>
      <c r="B11" s="257" t="s">
        <v>860</v>
      </c>
      <c r="C11" s="403">
        <v>11.5</v>
      </c>
      <c r="D11" s="403">
        <v>21</v>
      </c>
      <c r="E11" s="256">
        <f t="shared" ref="E11" si="3">C11/D11*100</f>
        <v>54.761904761904766</v>
      </c>
      <c r="F11" s="403">
        <v>3</v>
      </c>
      <c r="G11" s="403">
        <v>31</v>
      </c>
      <c r="H11" s="256">
        <f t="shared" ref="H11" si="4">F11/G11*100</f>
        <v>9.67741935483871</v>
      </c>
      <c r="I11" s="147"/>
      <c r="J11" s="403"/>
      <c r="K11" s="403"/>
      <c r="L11" s="403"/>
      <c r="M11" s="403"/>
      <c r="N11" s="403"/>
      <c r="O11" s="403"/>
      <c r="P11" s="403"/>
      <c r="Q11" s="140"/>
    </row>
    <row r="12" spans="1:17" x14ac:dyDescent="0.55000000000000004">
      <c r="A12" s="142">
        <v>8</v>
      </c>
      <c r="B12" s="257" t="s">
        <v>141</v>
      </c>
      <c r="C12" s="142">
        <v>11.5</v>
      </c>
      <c r="D12" s="142">
        <v>21</v>
      </c>
      <c r="E12" s="256">
        <f t="shared" si="0"/>
        <v>54.761904761904766</v>
      </c>
      <c r="F12" s="142">
        <v>13</v>
      </c>
      <c r="G12" s="142">
        <v>27.5</v>
      </c>
      <c r="H12" s="256">
        <f t="shared" si="1"/>
        <v>47.272727272727273</v>
      </c>
      <c r="I12" s="147" t="str">
        <f>IF(C12="","",IF(C12&lt;H12,"เพิ่มขึ้น",IF(C12&gt;H12,"ลดลง",IF(C12=H12,"คงที่",""))))</f>
        <v>เพิ่มขึ้น</v>
      </c>
      <c r="J12" s="142"/>
      <c r="K12" s="142"/>
      <c r="L12" s="142"/>
      <c r="M12" s="142"/>
      <c r="N12" s="142"/>
      <c r="O12" s="142"/>
      <c r="P12" s="142"/>
      <c r="Q12" s="140"/>
    </row>
    <row r="13" spans="1:17" ht="24.6" customHeight="1" x14ac:dyDescent="0.55000000000000004">
      <c r="A13" s="515" t="s">
        <v>131</v>
      </c>
      <c r="B13" s="515"/>
      <c r="C13" s="254">
        <f>SUM(C5:C12)</f>
        <v>97.5</v>
      </c>
      <c r="D13" s="254">
        <f>SUM(D5:D12)</f>
        <v>341.5</v>
      </c>
      <c r="E13" s="258">
        <f t="shared" si="0"/>
        <v>28.550512445095166</v>
      </c>
      <c r="F13" s="254">
        <f>SUM(F5:F12)</f>
        <v>122</v>
      </c>
      <c r="G13" s="254">
        <f t="shared" ref="G13:O13" si="5">SUM(G5:G12)</f>
        <v>442.5</v>
      </c>
      <c r="H13" s="258">
        <f t="shared" si="1"/>
        <v>27.570621468926554</v>
      </c>
      <c r="I13" s="146"/>
      <c r="J13" s="141">
        <f t="shared" si="5"/>
        <v>0</v>
      </c>
      <c r="K13" s="141">
        <f t="shared" si="5"/>
        <v>0</v>
      </c>
      <c r="L13" s="141">
        <f t="shared" si="5"/>
        <v>0</v>
      </c>
      <c r="M13" s="141">
        <f t="shared" si="5"/>
        <v>0</v>
      </c>
      <c r="N13" s="141">
        <f t="shared" si="5"/>
        <v>0</v>
      </c>
      <c r="O13" s="141">
        <f t="shared" si="5"/>
        <v>0</v>
      </c>
      <c r="P13" s="141"/>
      <c r="Q13" s="145"/>
    </row>
  </sheetData>
  <mergeCells count="8">
    <mergeCell ref="I3:P3"/>
    <mergeCell ref="B2:B4"/>
    <mergeCell ref="A1:H1"/>
    <mergeCell ref="A2:A4"/>
    <mergeCell ref="A13:B13"/>
    <mergeCell ref="C2:H2"/>
    <mergeCell ref="C3:E3"/>
    <mergeCell ref="F3:H3"/>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 sqref="C2:H2"/>
    </sheetView>
  </sheetViews>
  <sheetFormatPr defaultColWidth="9.08984375" defaultRowHeight="22.5" x14ac:dyDescent="0.55000000000000004"/>
  <cols>
    <col min="1" max="1" width="2.453125" style="136" customWidth="1"/>
    <col min="2" max="2" width="17.81640625" style="136" bestFit="1" customWidth="1"/>
    <col min="3" max="5" width="0" style="136" hidden="1" customWidth="1"/>
    <col min="6" max="16384" width="9.08984375" style="136"/>
  </cols>
  <sheetData>
    <row r="1" spans="1:8" ht="24.6" customHeight="1" x14ac:dyDescent="0.55000000000000004">
      <c r="A1" s="518" t="s">
        <v>803</v>
      </c>
      <c r="B1" s="518"/>
      <c r="C1" s="518"/>
      <c r="D1" s="518"/>
      <c r="E1" s="518"/>
      <c r="F1" s="518"/>
      <c r="G1" s="518"/>
      <c r="H1" s="518"/>
    </row>
    <row r="2" spans="1:8" ht="24.6" customHeight="1" x14ac:dyDescent="0.55000000000000004">
      <c r="A2" s="517" t="s">
        <v>125</v>
      </c>
      <c r="B2" s="495" t="s">
        <v>682</v>
      </c>
      <c r="C2" s="515" t="s">
        <v>862</v>
      </c>
      <c r="D2" s="515"/>
      <c r="E2" s="515"/>
      <c r="F2" s="515"/>
      <c r="G2" s="515"/>
      <c r="H2" s="515"/>
    </row>
    <row r="3" spans="1:8" x14ac:dyDescent="0.55000000000000004">
      <c r="A3" s="517"/>
      <c r="B3" s="495"/>
      <c r="C3" s="254" t="s">
        <v>699</v>
      </c>
      <c r="D3" s="254" t="s">
        <v>697</v>
      </c>
      <c r="E3" s="254" t="s">
        <v>698</v>
      </c>
      <c r="F3" s="254" t="s">
        <v>699</v>
      </c>
      <c r="G3" s="254" t="s">
        <v>697</v>
      </c>
      <c r="H3" s="254" t="s">
        <v>698</v>
      </c>
    </row>
    <row r="4" spans="1:8" x14ac:dyDescent="0.55000000000000004">
      <c r="A4" s="142">
        <v>1</v>
      </c>
      <c r="B4" s="255" t="s">
        <v>664</v>
      </c>
      <c r="C4" s="142">
        <f>12+3</f>
        <v>15</v>
      </c>
      <c r="D4" s="142">
        <v>56.5</v>
      </c>
      <c r="E4" s="256">
        <f t="shared" ref="E4:E12" si="0">C4/D4*100</f>
        <v>26.548672566371685</v>
      </c>
      <c r="F4" s="142">
        <v>20</v>
      </c>
      <c r="G4" s="142">
        <v>68.5</v>
      </c>
      <c r="H4" s="256">
        <f t="shared" ref="H4:H12" si="1">F4/G4*100</f>
        <v>29.197080291970799</v>
      </c>
    </row>
    <row r="5" spans="1:8" x14ac:dyDescent="0.55000000000000004">
      <c r="A5" s="142">
        <v>2</v>
      </c>
      <c r="B5" s="255" t="s">
        <v>672</v>
      </c>
      <c r="C5" s="142">
        <f>5+2</f>
        <v>7</v>
      </c>
      <c r="D5" s="142">
        <v>64</v>
      </c>
      <c r="E5" s="256">
        <f t="shared" si="0"/>
        <v>10.9375</v>
      </c>
      <c r="F5" s="142">
        <v>11</v>
      </c>
      <c r="G5" s="142">
        <v>89</v>
      </c>
      <c r="H5" s="256">
        <f t="shared" si="1"/>
        <v>12.359550561797752</v>
      </c>
    </row>
    <row r="6" spans="1:8" x14ac:dyDescent="0.55000000000000004">
      <c r="A6" s="142">
        <v>3</v>
      </c>
      <c r="B6" s="255" t="s">
        <v>661</v>
      </c>
      <c r="C6" s="142">
        <f>22+1.5</f>
        <v>23.5</v>
      </c>
      <c r="D6" s="142">
        <v>80</v>
      </c>
      <c r="E6" s="256">
        <f t="shared" si="0"/>
        <v>29.375</v>
      </c>
      <c r="F6" s="142">
        <v>24</v>
      </c>
      <c r="G6" s="142">
        <v>97</v>
      </c>
      <c r="H6" s="256">
        <f t="shared" si="1"/>
        <v>24.742268041237114</v>
      </c>
    </row>
    <row r="7" spans="1:8" x14ac:dyDescent="0.55000000000000004">
      <c r="A7" s="142">
        <v>4</v>
      </c>
      <c r="B7" s="255" t="s">
        <v>660</v>
      </c>
      <c r="C7" s="142">
        <f>9+3</f>
        <v>12</v>
      </c>
      <c r="D7" s="142">
        <v>33</v>
      </c>
      <c r="E7" s="256">
        <f t="shared" si="0"/>
        <v>36.363636363636367</v>
      </c>
      <c r="F7" s="142">
        <v>16</v>
      </c>
      <c r="G7" s="142">
        <v>48.5</v>
      </c>
      <c r="H7" s="256">
        <f t="shared" si="1"/>
        <v>32.989690721649481</v>
      </c>
    </row>
    <row r="8" spans="1:8" x14ac:dyDescent="0.55000000000000004">
      <c r="A8" s="142">
        <v>5</v>
      </c>
      <c r="B8" s="255" t="s">
        <v>665</v>
      </c>
      <c r="C8" s="142">
        <f>17+1</f>
        <v>18</v>
      </c>
      <c r="D8" s="142">
        <v>50</v>
      </c>
      <c r="E8" s="256">
        <f t="shared" si="0"/>
        <v>36</v>
      </c>
      <c r="F8" s="142">
        <v>20</v>
      </c>
      <c r="G8" s="142">
        <v>59</v>
      </c>
      <c r="H8" s="256">
        <f t="shared" si="1"/>
        <v>33.898305084745758</v>
      </c>
    </row>
    <row r="9" spans="1:8" x14ac:dyDescent="0.55000000000000004">
      <c r="A9" s="142">
        <v>6</v>
      </c>
      <c r="B9" s="255" t="s">
        <v>662</v>
      </c>
      <c r="C9" s="142">
        <f>8+2</f>
        <v>10</v>
      </c>
      <c r="D9" s="142">
        <v>16</v>
      </c>
      <c r="E9" s="256">
        <f t="shared" si="0"/>
        <v>62.5</v>
      </c>
      <c r="F9" s="142">
        <v>7.5</v>
      </c>
      <c r="G9" s="142">
        <v>22</v>
      </c>
      <c r="H9" s="256">
        <f t="shared" si="1"/>
        <v>34.090909090909086</v>
      </c>
    </row>
    <row r="10" spans="1:8" x14ac:dyDescent="0.55000000000000004">
      <c r="A10" s="403">
        <v>7</v>
      </c>
      <c r="B10" s="255" t="s">
        <v>861</v>
      </c>
      <c r="C10" s="403">
        <f>3.5+1</f>
        <v>4.5</v>
      </c>
      <c r="D10" s="403">
        <v>21</v>
      </c>
      <c r="E10" s="256">
        <f t="shared" ref="E10" si="2">C10/D10*100</f>
        <v>21.428571428571427</v>
      </c>
      <c r="F10" s="403">
        <v>2</v>
      </c>
      <c r="G10" s="403">
        <v>31</v>
      </c>
      <c r="H10" s="256">
        <f t="shared" ref="H10" si="3">F10/G10*100</f>
        <v>6.4516129032258061</v>
      </c>
    </row>
    <row r="11" spans="1:8" x14ac:dyDescent="0.55000000000000004">
      <c r="A11" s="142">
        <v>8</v>
      </c>
      <c r="B11" s="255" t="s">
        <v>141</v>
      </c>
      <c r="C11" s="142">
        <f>3.5+1</f>
        <v>4.5</v>
      </c>
      <c r="D11" s="142">
        <v>21</v>
      </c>
      <c r="E11" s="256">
        <f t="shared" si="0"/>
        <v>21.428571428571427</v>
      </c>
      <c r="F11" s="142">
        <v>1</v>
      </c>
      <c r="G11" s="142">
        <v>27.5</v>
      </c>
      <c r="H11" s="256">
        <f t="shared" si="1"/>
        <v>3.6363636363636362</v>
      </c>
    </row>
    <row r="12" spans="1:8" ht="24" customHeight="1" x14ac:dyDescent="0.55000000000000004">
      <c r="A12" s="515" t="s">
        <v>131</v>
      </c>
      <c r="B12" s="515"/>
      <c r="C12" s="254">
        <f>SUM(C4:C11)</f>
        <v>94.5</v>
      </c>
      <c r="D12" s="254">
        <f>SUM(D4:D11)</f>
        <v>341.5</v>
      </c>
      <c r="E12" s="256">
        <f t="shared" si="0"/>
        <v>27.672035139092237</v>
      </c>
      <c r="F12" s="254">
        <f>SUM(F4:F11)</f>
        <v>101.5</v>
      </c>
      <c r="G12" s="254">
        <f t="shared" ref="G12" si="4">SUM(G4:G11)</f>
        <v>442.5</v>
      </c>
      <c r="H12" s="256">
        <f t="shared" si="1"/>
        <v>22.937853107344633</v>
      </c>
    </row>
  </sheetData>
  <mergeCells count="5">
    <mergeCell ref="A2:A3"/>
    <mergeCell ref="A12:B12"/>
    <mergeCell ref="A1:H1"/>
    <mergeCell ref="B2:B3"/>
    <mergeCell ref="C2:H2"/>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08984375" defaultRowHeight="24.75" x14ac:dyDescent="0.6"/>
  <cols>
    <col min="1" max="16384" width="9.08984375" style="279"/>
  </cols>
  <sheetData>
    <row r="1" spans="1:1" x14ac:dyDescent="0.6">
      <c r="A1" s="280" t="s">
        <v>804</v>
      </c>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B1" workbookViewId="0">
      <selection activeCell="C22" sqref="C22"/>
    </sheetView>
  </sheetViews>
  <sheetFormatPr defaultColWidth="9.08984375" defaultRowHeight="18.75" x14ac:dyDescent="0.45"/>
  <cols>
    <col min="1" max="1" width="9.08984375" style="438"/>
    <col min="2" max="2" width="3.90625" style="438" customWidth="1"/>
    <col min="3" max="3" width="22.7265625" style="438" customWidth="1"/>
    <col min="4" max="4" width="8" style="438" customWidth="1"/>
    <col min="5" max="5" width="7.7265625" style="438" customWidth="1"/>
    <col min="6" max="6" width="8.1796875" style="438" customWidth="1"/>
    <col min="7" max="7" width="12.08984375" style="438" customWidth="1"/>
    <col min="8" max="16384" width="9.08984375" style="438"/>
  </cols>
  <sheetData>
    <row r="1" spans="1:10" ht="19.5" thickBot="1" x14ac:dyDescent="0.5">
      <c r="B1" s="439" t="s">
        <v>804</v>
      </c>
    </row>
    <row r="2" spans="1:10" ht="37.5" x14ac:dyDescent="0.45">
      <c r="A2" s="519" t="s">
        <v>125</v>
      </c>
      <c r="B2" s="525" t="s">
        <v>125</v>
      </c>
      <c r="C2" s="521" t="s">
        <v>126</v>
      </c>
      <c r="D2" s="521" t="s">
        <v>127</v>
      </c>
      <c r="E2" s="521"/>
      <c r="F2" s="521"/>
      <c r="G2" s="260" t="s">
        <v>128</v>
      </c>
    </row>
    <row r="3" spans="1:10" ht="38.25" thickBot="1" x14ac:dyDescent="0.5">
      <c r="A3" s="520"/>
      <c r="B3" s="526"/>
      <c r="C3" s="521"/>
      <c r="D3" s="404" t="s">
        <v>129</v>
      </c>
      <c r="E3" s="404" t="s">
        <v>130</v>
      </c>
      <c r="F3" s="260" t="s">
        <v>131</v>
      </c>
      <c r="G3" s="474" t="s">
        <v>132</v>
      </c>
      <c r="H3" s="468" t="s">
        <v>2</v>
      </c>
      <c r="I3" s="468"/>
    </row>
    <row r="4" spans="1:10" ht="19.5" thickBot="1" x14ac:dyDescent="0.5">
      <c r="A4" s="440">
        <v>1</v>
      </c>
      <c r="B4" s="441">
        <v>1</v>
      </c>
      <c r="C4" s="442" t="s">
        <v>133</v>
      </c>
      <c r="D4" s="443">
        <v>5672316</v>
      </c>
      <c r="E4" s="444">
        <v>1913100</v>
      </c>
      <c r="F4" s="445">
        <v>7585416</v>
      </c>
      <c r="G4" s="475">
        <v>89</v>
      </c>
      <c r="H4" s="481">
        <f>F4/G4</f>
        <v>85229.393258426964</v>
      </c>
      <c r="I4" s="482">
        <v>5</v>
      </c>
    </row>
    <row r="5" spans="1:10" ht="19.5" thickBot="1" x14ac:dyDescent="0.5">
      <c r="A5" s="446">
        <v>2</v>
      </c>
      <c r="B5" s="441">
        <v>2</v>
      </c>
      <c r="C5" s="442" t="s">
        <v>136</v>
      </c>
      <c r="D5" s="447">
        <v>1847367</v>
      </c>
      <c r="E5" s="448">
        <v>2060000</v>
      </c>
      <c r="F5" s="449">
        <v>3907367</v>
      </c>
      <c r="G5" s="476">
        <v>48.5</v>
      </c>
      <c r="H5" s="481">
        <f t="shared" ref="H5:H15" si="0">F5/G5</f>
        <v>80564.268041237112</v>
      </c>
      <c r="I5" s="482">
        <v>5</v>
      </c>
      <c r="J5" s="450"/>
    </row>
    <row r="6" spans="1:10" ht="19.5" thickBot="1" x14ac:dyDescent="0.5">
      <c r="A6" s="446">
        <v>3</v>
      </c>
      <c r="B6" s="441">
        <v>3</v>
      </c>
      <c r="C6" s="442" t="s">
        <v>137</v>
      </c>
      <c r="D6" s="447">
        <v>2493208.7000000002</v>
      </c>
      <c r="E6" s="448">
        <v>1752400</v>
      </c>
      <c r="F6" s="449">
        <v>4245608.7</v>
      </c>
      <c r="G6" s="476">
        <v>22</v>
      </c>
      <c r="H6" s="481">
        <f t="shared" si="0"/>
        <v>192982.21363636365</v>
      </c>
      <c r="I6" s="482">
        <v>5</v>
      </c>
    </row>
    <row r="7" spans="1:10" ht="19.5" thickBot="1" x14ac:dyDescent="0.5">
      <c r="A7" s="446">
        <v>4</v>
      </c>
      <c r="B7" s="441">
        <v>4</v>
      </c>
      <c r="C7" s="442" t="s">
        <v>138</v>
      </c>
      <c r="D7" s="447">
        <v>1567961</v>
      </c>
      <c r="E7" s="448">
        <v>4072000</v>
      </c>
      <c r="F7" s="449">
        <v>5639961</v>
      </c>
      <c r="G7" s="476">
        <v>86</v>
      </c>
      <c r="H7" s="481">
        <f t="shared" si="0"/>
        <v>65580.941860465115</v>
      </c>
      <c r="I7" s="482">
        <v>5</v>
      </c>
    </row>
    <row r="8" spans="1:10" ht="19.5" thickBot="1" x14ac:dyDescent="0.5">
      <c r="A8" s="446">
        <v>5</v>
      </c>
      <c r="B8" s="441">
        <v>5</v>
      </c>
      <c r="C8" s="442" t="s">
        <v>139</v>
      </c>
      <c r="D8" s="447">
        <v>2118058</v>
      </c>
      <c r="E8" s="448">
        <v>530000</v>
      </c>
      <c r="F8" s="449">
        <v>2648058</v>
      </c>
      <c r="G8" s="476">
        <v>65.5</v>
      </c>
      <c r="H8" s="481">
        <f t="shared" si="0"/>
        <v>40428.366412213742</v>
      </c>
      <c r="I8" s="482">
        <v>5</v>
      </c>
    </row>
    <row r="9" spans="1:10" ht="19.5" thickBot="1" x14ac:dyDescent="0.5">
      <c r="A9" s="451">
        <v>6</v>
      </c>
      <c r="B9" s="441">
        <v>6</v>
      </c>
      <c r="C9" s="442" t="s">
        <v>140</v>
      </c>
      <c r="D9" s="447">
        <v>1296667</v>
      </c>
      <c r="E9" s="448">
        <v>3768000</v>
      </c>
      <c r="F9" s="449">
        <v>5064667</v>
      </c>
      <c r="G9" s="476">
        <v>58</v>
      </c>
      <c r="H9" s="481">
        <f t="shared" si="0"/>
        <v>87321.844827586203</v>
      </c>
      <c r="I9" s="482">
        <v>5</v>
      </c>
    </row>
    <row r="10" spans="1:10" x14ac:dyDescent="0.45">
      <c r="A10" s="522">
        <v>7</v>
      </c>
      <c r="B10" s="441">
        <v>7</v>
      </c>
      <c r="C10" s="442" t="s">
        <v>141</v>
      </c>
      <c r="D10" s="452">
        <v>833333</v>
      </c>
      <c r="E10" s="453">
        <v>50000</v>
      </c>
      <c r="F10" s="454">
        <v>883333</v>
      </c>
      <c r="G10" s="477">
        <v>27.5</v>
      </c>
      <c r="H10" s="481">
        <f t="shared" si="0"/>
        <v>32121.200000000001</v>
      </c>
      <c r="I10" s="482">
        <v>5</v>
      </c>
    </row>
    <row r="11" spans="1:10" x14ac:dyDescent="0.45">
      <c r="A11" s="523"/>
      <c r="B11" s="441"/>
      <c r="C11" s="455" t="s">
        <v>142</v>
      </c>
      <c r="D11" s="456">
        <v>250000</v>
      </c>
      <c r="E11" s="457" t="s">
        <v>26</v>
      </c>
      <c r="F11" s="458">
        <v>250000</v>
      </c>
      <c r="G11" s="478">
        <v>3</v>
      </c>
      <c r="H11" s="481">
        <f t="shared" si="0"/>
        <v>83333.333333333328</v>
      </c>
      <c r="I11" s="482">
        <v>5</v>
      </c>
    </row>
    <row r="12" spans="1:10" ht="19.5" thickBot="1" x14ac:dyDescent="0.5">
      <c r="A12" s="524"/>
      <c r="B12" s="441"/>
      <c r="C12" s="455" t="s">
        <v>143</v>
      </c>
      <c r="D12" s="459">
        <v>583333</v>
      </c>
      <c r="E12" s="460">
        <v>50000</v>
      </c>
      <c r="F12" s="461">
        <v>633333</v>
      </c>
      <c r="G12" s="479">
        <v>24.5</v>
      </c>
      <c r="H12" s="481">
        <f t="shared" si="0"/>
        <v>25850.326530612245</v>
      </c>
      <c r="I12" s="482">
        <v>5</v>
      </c>
    </row>
    <row r="13" spans="1:10" ht="19.5" thickBot="1" x14ac:dyDescent="0.5">
      <c r="A13" s="451"/>
      <c r="B13" s="441">
        <v>8</v>
      </c>
      <c r="C13" s="442" t="s">
        <v>840</v>
      </c>
      <c r="D13" s="462">
        <v>1396764</v>
      </c>
      <c r="E13" s="463">
        <v>324000</v>
      </c>
      <c r="F13" s="464">
        <v>1720764</v>
      </c>
      <c r="G13" s="479">
        <v>31</v>
      </c>
      <c r="H13" s="481">
        <f t="shared" si="0"/>
        <v>55508.516129032258</v>
      </c>
      <c r="I13" s="482">
        <v>5</v>
      </c>
    </row>
    <row r="14" spans="1:10" ht="19.5" thickBot="1" x14ac:dyDescent="0.5">
      <c r="A14" s="451">
        <v>6</v>
      </c>
      <c r="B14" s="441">
        <v>9</v>
      </c>
      <c r="C14" s="442" t="s">
        <v>379</v>
      </c>
      <c r="D14" s="465">
        <v>83333</v>
      </c>
      <c r="E14" s="466" t="s">
        <v>26</v>
      </c>
      <c r="F14" s="467">
        <v>83333</v>
      </c>
      <c r="G14" s="476">
        <v>1</v>
      </c>
      <c r="H14" s="481">
        <f t="shared" si="0"/>
        <v>83333</v>
      </c>
      <c r="I14" s="482">
        <v>5</v>
      </c>
    </row>
    <row r="15" spans="1:10" ht="19.5" thickBot="1" x14ac:dyDescent="0.5">
      <c r="B15" s="468"/>
      <c r="C15" s="469" t="s">
        <v>680</v>
      </c>
      <c r="D15" s="470">
        <v>17309007.699999999</v>
      </c>
      <c r="E15" s="471">
        <v>14469500</v>
      </c>
      <c r="F15" s="472">
        <v>31778507.699999999</v>
      </c>
      <c r="G15" s="480">
        <v>428.5</v>
      </c>
      <c r="H15" s="481">
        <f t="shared" si="0"/>
        <v>74162.211668611431</v>
      </c>
      <c r="I15" s="482">
        <v>5</v>
      </c>
    </row>
    <row r="16" spans="1:10" x14ac:dyDescent="0.45">
      <c r="C16" s="473"/>
      <c r="D16" s="473"/>
      <c r="E16" s="473"/>
      <c r="F16" s="473"/>
      <c r="G16" s="473"/>
    </row>
    <row r="18" ht="20.45" customHeight="1" x14ac:dyDescent="0.45"/>
    <row r="31" ht="20.45" customHeight="1" x14ac:dyDescent="0.45"/>
  </sheetData>
  <mergeCells count="5">
    <mergeCell ref="A2:A3"/>
    <mergeCell ref="C2:C3"/>
    <mergeCell ref="D2:F2"/>
    <mergeCell ref="A10:A12"/>
    <mergeCell ref="B2:B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opLeftCell="B1" workbookViewId="0">
      <selection activeCell="I23" sqref="I23"/>
    </sheetView>
  </sheetViews>
  <sheetFormatPr defaultColWidth="9.08984375" defaultRowHeight="14.25" x14ac:dyDescent="0.2"/>
  <cols>
    <col min="1" max="1" width="9.08984375" style="129"/>
    <col min="2" max="2" width="2.453125" style="129" customWidth="1"/>
    <col min="3" max="3" width="26.7265625" style="129" customWidth="1"/>
    <col min="4" max="4" width="8.26953125" style="129" bestFit="1" customWidth="1"/>
    <col min="5" max="5" width="4.90625" style="129" customWidth="1"/>
    <col min="6" max="6" width="7.453125" style="129" bestFit="1" customWidth="1"/>
    <col min="7" max="7" width="7.6328125" style="129" bestFit="1" customWidth="1"/>
    <col min="8" max="16384" width="9.08984375" style="129"/>
  </cols>
  <sheetData>
    <row r="1" spans="2:7" ht="24.75" x14ac:dyDescent="0.6">
      <c r="B1" s="280" t="s">
        <v>804</v>
      </c>
    </row>
    <row r="2" spans="2:7" ht="23.25" x14ac:dyDescent="0.2">
      <c r="B2" s="528" t="s">
        <v>125</v>
      </c>
      <c r="C2" s="528" t="s">
        <v>126</v>
      </c>
      <c r="D2" s="528" t="s">
        <v>0</v>
      </c>
      <c r="E2" s="528"/>
      <c r="F2" s="528"/>
      <c r="G2" s="528" t="s">
        <v>144</v>
      </c>
    </row>
    <row r="3" spans="2:7" ht="23.25" x14ac:dyDescent="0.2">
      <c r="B3" s="528"/>
      <c r="C3" s="528"/>
      <c r="D3" s="281" t="s">
        <v>1</v>
      </c>
      <c r="E3" s="281" t="s">
        <v>3</v>
      </c>
      <c r="F3" s="281" t="s">
        <v>2</v>
      </c>
      <c r="G3" s="528"/>
    </row>
    <row r="4" spans="2:7" ht="23.25" x14ac:dyDescent="0.2">
      <c r="B4" s="405">
        <v>1</v>
      </c>
      <c r="C4" s="282" t="s">
        <v>133</v>
      </c>
      <c r="D4" s="283">
        <f>SUM('2.2-1'!F4)</f>
        <v>7585416</v>
      </c>
      <c r="E4" s="281">
        <f>SUM('2.2-1'!G4)</f>
        <v>89</v>
      </c>
      <c r="F4" s="284">
        <f>SUM(D4)/E4</f>
        <v>85229.393258426964</v>
      </c>
      <c r="G4" s="285">
        <f>IF(D4="-","",IF(ISERROR(F4*5/60000),,IF(F4*5/60000&gt;5,5,F4*5/60000)))</f>
        <v>5</v>
      </c>
    </row>
    <row r="5" spans="2:7" ht="23.25" x14ac:dyDescent="0.2">
      <c r="B5" s="289">
        <v>2</v>
      </c>
      <c r="C5" s="282" t="s">
        <v>136</v>
      </c>
      <c r="D5" s="283">
        <f>SUM('2.2-1'!F5)</f>
        <v>3907367</v>
      </c>
      <c r="E5" s="281">
        <f>SUM('2.2-1'!G5)</f>
        <v>48.5</v>
      </c>
      <c r="F5" s="284">
        <f t="shared" ref="F5:F13" si="0">D5/E5</f>
        <v>80564.268041237112</v>
      </c>
      <c r="G5" s="285">
        <f>IF(D5="-","",IF(ISERROR(F5*5/60000),,IF(F5*5/60000&gt;5,5,F5*5/60000)))</f>
        <v>5</v>
      </c>
    </row>
    <row r="6" spans="2:7" ht="23.25" x14ac:dyDescent="0.2">
      <c r="B6" s="289">
        <v>3</v>
      </c>
      <c r="C6" s="282" t="s">
        <v>137</v>
      </c>
      <c r="D6" s="283">
        <f>SUM('2.2-1'!F6)</f>
        <v>4245608.7</v>
      </c>
      <c r="E6" s="281">
        <f>SUM('2.2-1'!G6)</f>
        <v>22</v>
      </c>
      <c r="F6" s="284">
        <f t="shared" si="0"/>
        <v>192982.21363636365</v>
      </c>
      <c r="G6" s="285">
        <f t="shared" ref="G6" si="1">IF(D6="-","",IF(ISERROR(F6*5/60000),,IF(F6*5/60000&gt;5,5,F6*5/60000)))</f>
        <v>5</v>
      </c>
    </row>
    <row r="7" spans="2:7" ht="21" customHeight="1" x14ac:dyDescent="0.2">
      <c r="B7" s="289">
        <v>4</v>
      </c>
      <c r="C7" s="282" t="s">
        <v>146</v>
      </c>
      <c r="D7" s="284">
        <f>SUM('2.2-1'!F7)</f>
        <v>5639961</v>
      </c>
      <c r="E7" s="281">
        <f>SUM('2.2-1'!G7)</f>
        <v>86</v>
      </c>
      <c r="F7" s="284">
        <f t="shared" si="0"/>
        <v>65580.941860465115</v>
      </c>
      <c r="G7" s="285">
        <f>IF(D7="-","",IF(ISERROR(F7*5/25000),,IF(F7*5/25000&gt;5,5,F7*5/25000)))</f>
        <v>5</v>
      </c>
    </row>
    <row r="8" spans="2:7" ht="23.25" x14ac:dyDescent="0.2">
      <c r="B8" s="289">
        <v>5</v>
      </c>
      <c r="C8" s="282" t="s">
        <v>139</v>
      </c>
      <c r="D8" s="283">
        <f>SUM('2.2-1'!F8)</f>
        <v>2648058</v>
      </c>
      <c r="E8" s="281">
        <f>SUM('2.2-1'!G8)</f>
        <v>65.5</v>
      </c>
      <c r="F8" s="284">
        <f t="shared" si="0"/>
        <v>40428.366412213742</v>
      </c>
      <c r="G8" s="285">
        <f>IF(D8="-","",IF(ISERROR(F8*5/25000),,IF(F8*5/25000&gt;5,5,F8*5/25000)))</f>
        <v>5</v>
      </c>
    </row>
    <row r="9" spans="2:7" ht="23.25" x14ac:dyDescent="0.2">
      <c r="B9" s="289">
        <v>6</v>
      </c>
      <c r="C9" s="282" t="s">
        <v>140</v>
      </c>
      <c r="D9" s="283">
        <f>SUM('2.2-1'!F9)</f>
        <v>5064667</v>
      </c>
      <c r="E9" s="281">
        <f>SUM('2.2-1'!G9)</f>
        <v>58</v>
      </c>
      <c r="F9" s="284">
        <f t="shared" si="0"/>
        <v>87321.844827586203</v>
      </c>
      <c r="G9" s="285">
        <f>IF(D9="-","",IF(ISERROR(F9*5/25000),,IF(F9*5/25000&gt;5,5,F9*5/25000)))</f>
        <v>5</v>
      </c>
    </row>
    <row r="10" spans="2:7" ht="23.25" x14ac:dyDescent="0.2">
      <c r="B10" s="529">
        <v>7</v>
      </c>
      <c r="C10" s="282" t="s">
        <v>141</v>
      </c>
      <c r="D10" s="283">
        <f>SUM('2.2-1'!F10)</f>
        <v>883333</v>
      </c>
      <c r="E10" s="281">
        <f>SUM('2.2-1'!G10)</f>
        <v>27.5</v>
      </c>
      <c r="F10" s="284">
        <f t="shared" si="0"/>
        <v>32121.200000000001</v>
      </c>
      <c r="G10" s="285">
        <f>SUM(G11:G12)/2</f>
        <v>5</v>
      </c>
    </row>
    <row r="11" spans="2:7" ht="21" customHeight="1" x14ac:dyDescent="0.2">
      <c r="B11" s="529"/>
      <c r="C11" s="286" t="s">
        <v>142</v>
      </c>
      <c r="D11" s="290">
        <f>SUM('2.2-1'!F11)</f>
        <v>250000</v>
      </c>
      <c r="E11" s="291">
        <f>SUM('2.2-1'!G11)</f>
        <v>3</v>
      </c>
      <c r="F11" s="287">
        <f t="shared" si="0"/>
        <v>83333.333333333328</v>
      </c>
      <c r="G11" s="288">
        <f>IF(D11="-","",IF(ISERROR(F11*5/60000),,IF(F11*5/60000&gt;5,5,F11*5/60000)))</f>
        <v>5</v>
      </c>
    </row>
    <row r="12" spans="2:7" ht="23.25" x14ac:dyDescent="0.2">
      <c r="B12" s="529"/>
      <c r="C12" s="286" t="s">
        <v>143</v>
      </c>
      <c r="D12" s="290">
        <f>SUM('2.2-1'!F12)</f>
        <v>633333</v>
      </c>
      <c r="E12" s="291">
        <f>SUM('2.2-1'!G12)</f>
        <v>24.5</v>
      </c>
      <c r="F12" s="287">
        <f t="shared" si="0"/>
        <v>25850.326530612245</v>
      </c>
      <c r="G12" s="288">
        <f>IF(D12="-","",IF(ISERROR(F12*5/25000),,IF(F12*5/25000&gt;5,5,F12*5/25000)))</f>
        <v>5</v>
      </c>
    </row>
    <row r="13" spans="2:7" ht="23.25" x14ac:dyDescent="0.2">
      <c r="B13" s="405">
        <v>8</v>
      </c>
      <c r="C13" s="282" t="s">
        <v>840</v>
      </c>
      <c r="D13" s="290">
        <f>SUM('2.2-1'!F13)</f>
        <v>1720764</v>
      </c>
      <c r="E13" s="291">
        <f>SUM('2.2-1'!G13)</f>
        <v>31</v>
      </c>
      <c r="F13" s="287">
        <f t="shared" si="0"/>
        <v>55508.516129032258</v>
      </c>
      <c r="G13" s="288">
        <f>IF(D13="-","",IF(ISERROR(F13*5/25000),,IF(F13*5/25000&gt;5,5,F13*5/25000)))</f>
        <v>5</v>
      </c>
    </row>
    <row r="14" spans="2:7" ht="23.25" x14ac:dyDescent="0.2">
      <c r="B14" s="289">
        <v>9</v>
      </c>
      <c r="C14" s="282" t="s">
        <v>379</v>
      </c>
      <c r="D14" s="284">
        <f>SUM('2.2-1'!F14)</f>
        <v>83333</v>
      </c>
      <c r="E14" s="281">
        <f>SUM('2.2-1'!G14)</f>
        <v>1</v>
      </c>
      <c r="F14" s="284">
        <f t="shared" ref="F14" si="2">D14/E14</f>
        <v>83333</v>
      </c>
      <c r="G14" s="285">
        <f>IF(D14="-","",IF(ISERROR(F14*5/25000),,IF(F14*5/25000&gt;5,5,F14*5/25000)))</f>
        <v>5</v>
      </c>
    </row>
    <row r="15" spans="2:7" ht="23.25" x14ac:dyDescent="0.2">
      <c r="B15" s="527" t="s">
        <v>147</v>
      </c>
      <c r="C15" s="527"/>
      <c r="D15" s="527"/>
      <c r="E15" s="527"/>
      <c r="F15" s="527"/>
      <c r="G15" s="292">
        <f>SUM(G4,G5,G6,G7,G8,G9,G10,G14)/8</f>
        <v>5</v>
      </c>
    </row>
  </sheetData>
  <mergeCells count="6">
    <mergeCell ref="B15:F15"/>
    <mergeCell ref="B2:B3"/>
    <mergeCell ref="C2:C3"/>
    <mergeCell ref="D2:F2"/>
    <mergeCell ref="G2:G3"/>
    <mergeCell ref="B10:B12"/>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opLeftCell="A169" zoomScale="40" zoomScaleNormal="40" workbookViewId="0">
      <selection activeCell="D185" sqref="D185"/>
    </sheetView>
  </sheetViews>
  <sheetFormatPr defaultColWidth="9.08984375" defaultRowHeight="18.75" x14ac:dyDescent="0.3"/>
  <cols>
    <col min="1" max="1" width="2.7265625" style="130" bestFit="1" customWidth="1"/>
    <col min="2" max="2" width="4.26953125" style="130" bestFit="1" customWidth="1"/>
    <col min="3" max="3" width="26.36328125" style="130" customWidth="1"/>
    <col min="4" max="4" width="38.54296875" style="130" bestFit="1" customWidth="1"/>
    <col min="5" max="5" width="12.54296875" style="131" bestFit="1" customWidth="1"/>
    <col min="6" max="16384" width="9.08984375" style="130"/>
  </cols>
  <sheetData>
    <row r="1" spans="1:5" ht="24.75" x14ac:dyDescent="0.6">
      <c r="A1" s="280" t="s">
        <v>822</v>
      </c>
    </row>
    <row r="2" spans="1:5" ht="67.5" x14ac:dyDescent="0.3">
      <c r="A2" s="293" t="s">
        <v>125</v>
      </c>
      <c r="B2" s="293" t="s">
        <v>149</v>
      </c>
      <c r="C2" s="293" t="s">
        <v>150</v>
      </c>
      <c r="D2" s="294" t="s">
        <v>151</v>
      </c>
      <c r="E2" s="295" t="s">
        <v>671</v>
      </c>
    </row>
    <row r="3" spans="1:5" ht="18" customHeight="1" x14ac:dyDescent="0.3">
      <c r="A3" s="538" t="s">
        <v>152</v>
      </c>
      <c r="B3" s="539"/>
      <c r="C3" s="539"/>
      <c r="D3" s="539"/>
      <c r="E3" s="540"/>
    </row>
    <row r="4" spans="1:5" ht="18" customHeight="1" x14ac:dyDescent="0.3">
      <c r="A4" s="538" t="s">
        <v>670</v>
      </c>
      <c r="B4" s="539"/>
      <c r="C4" s="539"/>
      <c r="D4" s="539"/>
      <c r="E4" s="540"/>
    </row>
    <row r="5" spans="1:5" ht="20.45" customHeight="1" x14ac:dyDescent="0.3">
      <c r="A5" s="547">
        <v>1</v>
      </c>
      <c r="B5" s="532">
        <v>0.2</v>
      </c>
      <c r="C5" s="296" t="s">
        <v>137</v>
      </c>
      <c r="D5" s="297"/>
      <c r="E5" s="298"/>
    </row>
    <row r="6" spans="1:5" ht="67.5" x14ac:dyDescent="0.3">
      <c r="A6" s="532"/>
      <c r="B6" s="532"/>
      <c r="C6" s="297" t="s">
        <v>456</v>
      </c>
      <c r="D6" s="297" t="s">
        <v>153</v>
      </c>
      <c r="E6" s="298" t="s">
        <v>661</v>
      </c>
    </row>
    <row r="7" spans="1:5" ht="22.5" x14ac:dyDescent="0.3">
      <c r="A7" s="532">
        <v>2</v>
      </c>
      <c r="B7" s="532">
        <v>0.2</v>
      </c>
      <c r="C7" s="299" t="s">
        <v>136</v>
      </c>
      <c r="D7" s="300"/>
      <c r="E7" s="301"/>
    </row>
    <row r="8" spans="1:5" ht="90" x14ac:dyDescent="0.3">
      <c r="A8" s="532"/>
      <c r="B8" s="532"/>
      <c r="C8" s="302" t="s">
        <v>154</v>
      </c>
      <c r="D8" s="297" t="s">
        <v>457</v>
      </c>
      <c r="E8" s="298" t="s">
        <v>661</v>
      </c>
    </row>
    <row r="9" spans="1:5" ht="90" x14ac:dyDescent="0.3">
      <c r="A9" s="303">
        <v>3</v>
      </c>
      <c r="B9" s="303">
        <v>0.2</v>
      </c>
      <c r="C9" s="297" t="s">
        <v>458</v>
      </c>
      <c r="D9" s="297" t="s">
        <v>459</v>
      </c>
      <c r="E9" s="298" t="s">
        <v>661</v>
      </c>
    </row>
    <row r="10" spans="1:5" ht="90" x14ac:dyDescent="0.3">
      <c r="A10" s="303">
        <v>4</v>
      </c>
      <c r="B10" s="303">
        <v>0.2</v>
      </c>
      <c r="C10" s="297" t="s">
        <v>155</v>
      </c>
      <c r="D10" s="297" t="s">
        <v>156</v>
      </c>
      <c r="E10" s="298" t="s">
        <v>661</v>
      </c>
    </row>
    <row r="11" spans="1:5" ht="90" x14ac:dyDescent="0.3">
      <c r="A11" s="303">
        <v>5</v>
      </c>
      <c r="B11" s="303">
        <v>0.2</v>
      </c>
      <c r="C11" s="297" t="s">
        <v>460</v>
      </c>
      <c r="D11" s="297" t="s">
        <v>461</v>
      </c>
      <c r="E11" s="298" t="s">
        <v>661</v>
      </c>
    </row>
    <row r="12" spans="1:5" ht="90" x14ac:dyDescent="0.3">
      <c r="A12" s="303">
        <v>6</v>
      </c>
      <c r="B12" s="303">
        <v>0.2</v>
      </c>
      <c r="C12" s="297" t="s">
        <v>462</v>
      </c>
      <c r="D12" s="297" t="s">
        <v>157</v>
      </c>
      <c r="E12" s="298" t="s">
        <v>661</v>
      </c>
    </row>
    <row r="13" spans="1:5" ht="22.5" x14ac:dyDescent="0.3">
      <c r="A13" s="532">
        <v>7</v>
      </c>
      <c r="B13" s="532">
        <v>0.2</v>
      </c>
      <c r="C13" s="299" t="s">
        <v>139</v>
      </c>
      <c r="D13" s="300"/>
      <c r="E13" s="301"/>
    </row>
    <row r="14" spans="1:5" ht="67.5" x14ac:dyDescent="0.3">
      <c r="A14" s="532"/>
      <c r="B14" s="532"/>
      <c r="C14" s="297" t="s">
        <v>463</v>
      </c>
      <c r="D14" s="297" t="s">
        <v>158</v>
      </c>
      <c r="E14" s="298" t="s">
        <v>672</v>
      </c>
    </row>
    <row r="15" spans="1:5" ht="67.5" x14ac:dyDescent="0.3">
      <c r="A15" s="303">
        <v>8</v>
      </c>
      <c r="B15" s="303">
        <v>0.2</v>
      </c>
      <c r="C15" s="297" t="s">
        <v>464</v>
      </c>
      <c r="D15" s="297" t="s">
        <v>159</v>
      </c>
      <c r="E15" s="298" t="s">
        <v>672</v>
      </c>
    </row>
    <row r="16" spans="1:5" ht="67.5" x14ac:dyDescent="0.3">
      <c r="A16" s="303">
        <v>9</v>
      </c>
      <c r="B16" s="303">
        <v>0.2</v>
      </c>
      <c r="C16" s="297" t="s">
        <v>465</v>
      </c>
      <c r="D16" s="297" t="s">
        <v>805</v>
      </c>
      <c r="E16" s="298" t="s">
        <v>672</v>
      </c>
    </row>
    <row r="17" spans="1:5" ht="67.5" x14ac:dyDescent="0.3">
      <c r="A17" s="303">
        <v>10</v>
      </c>
      <c r="B17" s="303">
        <v>0.2</v>
      </c>
      <c r="C17" s="297" t="s">
        <v>466</v>
      </c>
      <c r="D17" s="297" t="s">
        <v>161</v>
      </c>
      <c r="E17" s="298" t="s">
        <v>672</v>
      </c>
    </row>
    <row r="18" spans="1:5" ht="67.5" x14ac:dyDescent="0.3">
      <c r="A18" s="303">
        <v>11</v>
      </c>
      <c r="B18" s="303">
        <v>0.2</v>
      </c>
      <c r="C18" s="297" t="s">
        <v>467</v>
      </c>
      <c r="D18" s="297" t="s">
        <v>161</v>
      </c>
      <c r="E18" s="298" t="s">
        <v>672</v>
      </c>
    </row>
    <row r="19" spans="1:5" ht="67.5" x14ac:dyDescent="0.3">
      <c r="A19" s="303">
        <v>12</v>
      </c>
      <c r="B19" s="303">
        <v>0.2</v>
      </c>
      <c r="C19" s="297" t="s">
        <v>468</v>
      </c>
      <c r="D19" s="297" t="s">
        <v>162</v>
      </c>
      <c r="E19" s="298" t="s">
        <v>672</v>
      </c>
    </row>
    <row r="20" spans="1:5" ht="45" x14ac:dyDescent="0.3">
      <c r="A20" s="303">
        <v>13</v>
      </c>
      <c r="B20" s="303">
        <v>0.2</v>
      </c>
      <c r="C20" s="297" t="s">
        <v>469</v>
      </c>
      <c r="D20" s="297" t="s">
        <v>163</v>
      </c>
      <c r="E20" s="298" t="s">
        <v>672</v>
      </c>
    </row>
    <row r="21" spans="1:5" ht="45" x14ac:dyDescent="0.3">
      <c r="A21" s="303">
        <v>14</v>
      </c>
      <c r="B21" s="303">
        <v>0.2</v>
      </c>
      <c r="C21" s="297" t="s">
        <v>470</v>
      </c>
      <c r="D21" s="297" t="s">
        <v>164</v>
      </c>
      <c r="E21" s="298" t="s">
        <v>672</v>
      </c>
    </row>
    <row r="22" spans="1:5" ht="33" customHeight="1" x14ac:dyDescent="0.3">
      <c r="A22" s="303">
        <v>15</v>
      </c>
      <c r="B22" s="303">
        <v>0.2</v>
      </c>
      <c r="C22" s="297" t="s">
        <v>614</v>
      </c>
      <c r="D22" s="297" t="s">
        <v>165</v>
      </c>
      <c r="E22" s="298" t="s">
        <v>672</v>
      </c>
    </row>
    <row r="23" spans="1:5" ht="67.5" x14ac:dyDescent="0.3">
      <c r="A23" s="303">
        <v>16</v>
      </c>
      <c r="B23" s="303">
        <v>0.2</v>
      </c>
      <c r="C23" s="297" t="s">
        <v>471</v>
      </c>
      <c r="D23" s="297" t="s">
        <v>166</v>
      </c>
      <c r="E23" s="298" t="s">
        <v>672</v>
      </c>
    </row>
    <row r="24" spans="1:5" ht="67.5" x14ac:dyDescent="0.3">
      <c r="A24" s="303">
        <v>17</v>
      </c>
      <c r="B24" s="303">
        <v>0.2</v>
      </c>
      <c r="C24" s="297" t="s">
        <v>472</v>
      </c>
      <c r="D24" s="297" t="s">
        <v>166</v>
      </c>
      <c r="E24" s="298" t="s">
        <v>672</v>
      </c>
    </row>
    <row r="25" spans="1:5" ht="67.5" x14ac:dyDescent="0.3">
      <c r="A25" s="303">
        <v>18</v>
      </c>
      <c r="B25" s="303">
        <v>0.2</v>
      </c>
      <c r="C25" s="297" t="s">
        <v>473</v>
      </c>
      <c r="D25" s="297" t="s">
        <v>167</v>
      </c>
      <c r="E25" s="298" t="s">
        <v>672</v>
      </c>
    </row>
    <row r="26" spans="1:5" ht="67.5" x14ac:dyDescent="0.3">
      <c r="A26" s="303">
        <v>19</v>
      </c>
      <c r="B26" s="303">
        <v>0.2</v>
      </c>
      <c r="C26" s="297" t="s">
        <v>474</v>
      </c>
      <c r="D26" s="297" t="s">
        <v>168</v>
      </c>
      <c r="E26" s="298" t="s">
        <v>672</v>
      </c>
    </row>
    <row r="27" spans="1:5" ht="67.5" x14ac:dyDescent="0.3">
      <c r="A27" s="303">
        <v>20</v>
      </c>
      <c r="B27" s="303">
        <v>0.2</v>
      </c>
      <c r="C27" s="297" t="s">
        <v>475</v>
      </c>
      <c r="D27" s="297" t="s">
        <v>169</v>
      </c>
      <c r="E27" s="298" t="s">
        <v>672</v>
      </c>
    </row>
    <row r="28" spans="1:5" ht="67.5" x14ac:dyDescent="0.3">
      <c r="A28" s="303">
        <v>21</v>
      </c>
      <c r="B28" s="303">
        <v>0.2</v>
      </c>
      <c r="C28" s="297" t="s">
        <v>476</v>
      </c>
      <c r="D28" s="297" t="s">
        <v>170</v>
      </c>
      <c r="E28" s="298" t="s">
        <v>672</v>
      </c>
    </row>
    <row r="29" spans="1:5" ht="45" x14ac:dyDescent="0.3">
      <c r="A29" s="303">
        <v>22</v>
      </c>
      <c r="B29" s="303">
        <v>0.2</v>
      </c>
      <c r="C29" s="297" t="s">
        <v>477</v>
      </c>
      <c r="D29" s="297" t="s">
        <v>171</v>
      </c>
      <c r="E29" s="298" t="s">
        <v>672</v>
      </c>
    </row>
    <row r="30" spans="1:5" ht="67.5" x14ac:dyDescent="0.3">
      <c r="A30" s="303">
        <v>23</v>
      </c>
      <c r="B30" s="303">
        <v>0.2</v>
      </c>
      <c r="C30" s="297" t="s">
        <v>172</v>
      </c>
      <c r="D30" s="297" t="s">
        <v>478</v>
      </c>
      <c r="E30" s="298" t="s">
        <v>672</v>
      </c>
    </row>
    <row r="31" spans="1:5" ht="45" x14ac:dyDescent="0.3">
      <c r="A31" s="303">
        <v>24</v>
      </c>
      <c r="B31" s="303">
        <v>0.2</v>
      </c>
      <c r="C31" s="297" t="s">
        <v>173</v>
      </c>
      <c r="D31" s="297" t="s">
        <v>479</v>
      </c>
      <c r="E31" s="298" t="s">
        <v>672</v>
      </c>
    </row>
    <row r="32" spans="1:5" ht="90" x14ac:dyDescent="0.3">
      <c r="A32" s="303">
        <v>25</v>
      </c>
      <c r="B32" s="303">
        <v>0.2</v>
      </c>
      <c r="C32" s="296" t="s">
        <v>806</v>
      </c>
      <c r="D32" s="297" t="s">
        <v>174</v>
      </c>
      <c r="E32" s="298" t="s">
        <v>672</v>
      </c>
    </row>
    <row r="33" spans="1:5" ht="90" x14ac:dyDescent="0.3">
      <c r="A33" s="303">
        <v>26</v>
      </c>
      <c r="B33" s="303">
        <v>0.2</v>
      </c>
      <c r="C33" s="304" t="s">
        <v>175</v>
      </c>
      <c r="D33" s="297" t="s">
        <v>176</v>
      </c>
      <c r="E33" s="298" t="s">
        <v>672</v>
      </c>
    </row>
    <row r="34" spans="1:5" ht="67.5" x14ac:dyDescent="0.3">
      <c r="A34" s="303">
        <v>27</v>
      </c>
      <c r="B34" s="303">
        <v>0.2</v>
      </c>
      <c r="C34" s="304" t="s">
        <v>177</v>
      </c>
      <c r="D34" s="297" t="s">
        <v>178</v>
      </c>
      <c r="E34" s="298" t="s">
        <v>672</v>
      </c>
    </row>
    <row r="35" spans="1:5" ht="67.5" x14ac:dyDescent="0.3">
      <c r="A35" s="303">
        <v>28</v>
      </c>
      <c r="B35" s="303">
        <v>0.2</v>
      </c>
      <c r="C35" s="304" t="s">
        <v>179</v>
      </c>
      <c r="D35" s="297" t="s">
        <v>180</v>
      </c>
      <c r="E35" s="298" t="s">
        <v>672</v>
      </c>
    </row>
    <row r="36" spans="1:5" ht="22.5" x14ac:dyDescent="0.3">
      <c r="A36" s="532">
        <v>29</v>
      </c>
      <c r="B36" s="532">
        <v>0.2</v>
      </c>
      <c r="C36" s="296" t="s">
        <v>140</v>
      </c>
      <c r="D36" s="297"/>
      <c r="E36" s="298"/>
    </row>
    <row r="37" spans="1:5" ht="67.5" x14ac:dyDescent="0.3">
      <c r="A37" s="532"/>
      <c r="B37" s="532"/>
      <c r="C37" s="297" t="s">
        <v>480</v>
      </c>
      <c r="D37" s="305" t="s">
        <v>481</v>
      </c>
      <c r="E37" s="298" t="s">
        <v>672</v>
      </c>
    </row>
    <row r="38" spans="1:5" ht="90" x14ac:dyDescent="0.3">
      <c r="A38" s="303">
        <v>30</v>
      </c>
      <c r="B38" s="303">
        <v>0.2</v>
      </c>
      <c r="C38" s="297" t="s">
        <v>482</v>
      </c>
      <c r="D38" s="297" t="s">
        <v>483</v>
      </c>
      <c r="E38" s="298" t="s">
        <v>672</v>
      </c>
    </row>
    <row r="39" spans="1:5" ht="67.5" x14ac:dyDescent="0.3">
      <c r="A39" s="303">
        <v>31</v>
      </c>
      <c r="B39" s="303">
        <v>0.2</v>
      </c>
      <c r="C39" s="297" t="s">
        <v>484</v>
      </c>
      <c r="D39" s="297" t="s">
        <v>182</v>
      </c>
      <c r="E39" s="298" t="s">
        <v>672</v>
      </c>
    </row>
    <row r="40" spans="1:5" ht="90" x14ac:dyDescent="0.3">
      <c r="A40" s="303">
        <v>32</v>
      </c>
      <c r="B40" s="303">
        <v>0.2</v>
      </c>
      <c r="C40" s="297" t="s">
        <v>485</v>
      </c>
      <c r="D40" s="297" t="s">
        <v>807</v>
      </c>
      <c r="E40" s="298" t="s">
        <v>672</v>
      </c>
    </row>
    <row r="41" spans="1:5" ht="67.5" x14ac:dyDescent="0.3">
      <c r="A41" s="303">
        <v>33</v>
      </c>
      <c r="B41" s="303">
        <v>0.2</v>
      </c>
      <c r="C41" s="297" t="s">
        <v>486</v>
      </c>
      <c r="D41" s="297" t="s">
        <v>183</v>
      </c>
      <c r="E41" s="298" t="s">
        <v>672</v>
      </c>
    </row>
    <row r="42" spans="1:5" ht="90" x14ac:dyDescent="0.3">
      <c r="A42" s="303">
        <v>34</v>
      </c>
      <c r="B42" s="303">
        <v>0.2</v>
      </c>
      <c r="C42" s="297" t="s">
        <v>487</v>
      </c>
      <c r="D42" s="297" t="s">
        <v>184</v>
      </c>
      <c r="E42" s="298" t="s">
        <v>672</v>
      </c>
    </row>
    <row r="43" spans="1:5" ht="90" x14ac:dyDescent="0.3">
      <c r="A43" s="303">
        <v>35</v>
      </c>
      <c r="B43" s="303">
        <v>0.2</v>
      </c>
      <c r="C43" s="297" t="s">
        <v>488</v>
      </c>
      <c r="D43" s="297" t="s">
        <v>185</v>
      </c>
      <c r="E43" s="298" t="s">
        <v>672</v>
      </c>
    </row>
    <row r="44" spans="1:5" ht="112.5" x14ac:dyDescent="0.3">
      <c r="A44" s="303">
        <v>36</v>
      </c>
      <c r="B44" s="303">
        <v>0.2</v>
      </c>
      <c r="C44" s="297" t="s">
        <v>489</v>
      </c>
      <c r="D44" s="297" t="s">
        <v>186</v>
      </c>
      <c r="E44" s="298" t="s">
        <v>672</v>
      </c>
    </row>
    <row r="45" spans="1:5" ht="135" x14ac:dyDescent="0.3">
      <c r="A45" s="303">
        <v>37</v>
      </c>
      <c r="B45" s="303">
        <v>0.2</v>
      </c>
      <c r="C45" s="297" t="s">
        <v>490</v>
      </c>
      <c r="D45" s="297" t="s">
        <v>187</v>
      </c>
      <c r="E45" s="298" t="s">
        <v>672</v>
      </c>
    </row>
    <row r="46" spans="1:5" ht="135" x14ac:dyDescent="0.3">
      <c r="A46" s="303">
        <v>38</v>
      </c>
      <c r="B46" s="303">
        <v>0.2</v>
      </c>
      <c r="C46" s="297" t="s">
        <v>491</v>
      </c>
      <c r="D46" s="297" t="s">
        <v>188</v>
      </c>
      <c r="E46" s="298" t="s">
        <v>672</v>
      </c>
    </row>
    <row r="47" spans="1:5" ht="90" x14ac:dyDescent="0.3">
      <c r="A47" s="303">
        <v>39</v>
      </c>
      <c r="B47" s="303">
        <v>0.2</v>
      </c>
      <c r="C47" s="297" t="s">
        <v>492</v>
      </c>
      <c r="D47" s="297" t="s">
        <v>189</v>
      </c>
      <c r="E47" s="298" t="s">
        <v>672</v>
      </c>
    </row>
    <row r="48" spans="1:5" ht="90" x14ac:dyDescent="0.3">
      <c r="A48" s="303">
        <v>40</v>
      </c>
      <c r="B48" s="303">
        <v>0.2</v>
      </c>
      <c r="C48" s="297" t="s">
        <v>493</v>
      </c>
      <c r="D48" s="297" t="s">
        <v>190</v>
      </c>
      <c r="E48" s="298" t="s">
        <v>672</v>
      </c>
    </row>
    <row r="49" spans="1:5" ht="67.5" x14ac:dyDescent="0.3">
      <c r="A49" s="303">
        <v>41</v>
      </c>
      <c r="B49" s="303">
        <v>0.2</v>
      </c>
      <c r="C49" s="297" t="s">
        <v>494</v>
      </c>
      <c r="D49" s="297" t="s">
        <v>191</v>
      </c>
      <c r="E49" s="298" t="s">
        <v>672</v>
      </c>
    </row>
    <row r="50" spans="1:5" ht="67.5" x14ac:dyDescent="0.3">
      <c r="A50" s="303">
        <v>42</v>
      </c>
      <c r="B50" s="303">
        <v>0.2</v>
      </c>
      <c r="C50" s="297" t="s">
        <v>495</v>
      </c>
      <c r="D50" s="297" t="s">
        <v>496</v>
      </c>
      <c r="E50" s="298" t="s">
        <v>672</v>
      </c>
    </row>
    <row r="51" spans="1:5" ht="90" x14ac:dyDescent="0.3">
      <c r="A51" s="303">
        <v>43</v>
      </c>
      <c r="B51" s="303">
        <v>0.2</v>
      </c>
      <c r="C51" s="297" t="s">
        <v>497</v>
      </c>
      <c r="D51" s="297" t="s">
        <v>192</v>
      </c>
      <c r="E51" s="298" t="s">
        <v>672</v>
      </c>
    </row>
    <row r="52" spans="1:5" ht="67.5" x14ac:dyDescent="0.3">
      <c r="A52" s="303">
        <v>44</v>
      </c>
      <c r="B52" s="303">
        <v>0.2</v>
      </c>
      <c r="C52" s="297" t="s">
        <v>498</v>
      </c>
      <c r="D52" s="297" t="s">
        <v>193</v>
      </c>
      <c r="E52" s="298" t="s">
        <v>672</v>
      </c>
    </row>
    <row r="53" spans="1:5" ht="90" x14ac:dyDescent="0.3">
      <c r="A53" s="303">
        <v>45</v>
      </c>
      <c r="B53" s="303">
        <v>0.2</v>
      </c>
      <c r="C53" s="297" t="s">
        <v>499</v>
      </c>
      <c r="D53" s="297" t="s">
        <v>500</v>
      </c>
      <c r="E53" s="298" t="s">
        <v>672</v>
      </c>
    </row>
    <row r="54" spans="1:5" ht="90" x14ac:dyDescent="0.3">
      <c r="A54" s="303">
        <v>46</v>
      </c>
      <c r="B54" s="303">
        <v>0.2</v>
      </c>
      <c r="C54" s="297" t="s">
        <v>501</v>
      </c>
      <c r="D54" s="297" t="s">
        <v>502</v>
      </c>
      <c r="E54" s="298" t="s">
        <v>672</v>
      </c>
    </row>
    <row r="55" spans="1:5" ht="90" x14ac:dyDescent="0.3">
      <c r="A55" s="303">
        <v>47</v>
      </c>
      <c r="B55" s="303">
        <v>0.2</v>
      </c>
      <c r="C55" s="297" t="s">
        <v>503</v>
      </c>
      <c r="D55" s="297" t="s">
        <v>504</v>
      </c>
      <c r="E55" s="298" t="s">
        <v>672</v>
      </c>
    </row>
    <row r="56" spans="1:5" ht="90" x14ac:dyDescent="0.3">
      <c r="A56" s="303">
        <v>48</v>
      </c>
      <c r="B56" s="303">
        <v>0.2</v>
      </c>
      <c r="C56" s="297" t="s">
        <v>505</v>
      </c>
      <c r="D56" s="297" t="s">
        <v>506</v>
      </c>
      <c r="E56" s="298" t="s">
        <v>672</v>
      </c>
    </row>
    <row r="57" spans="1:5" ht="67.5" x14ac:dyDescent="0.3">
      <c r="A57" s="303">
        <v>49</v>
      </c>
      <c r="B57" s="303">
        <v>0.2</v>
      </c>
      <c r="C57" s="297" t="s">
        <v>507</v>
      </c>
      <c r="D57" s="297" t="s">
        <v>508</v>
      </c>
      <c r="E57" s="298" t="s">
        <v>672</v>
      </c>
    </row>
    <row r="58" spans="1:5" ht="90" x14ac:dyDescent="0.3">
      <c r="A58" s="303">
        <v>50</v>
      </c>
      <c r="B58" s="303">
        <v>0.2</v>
      </c>
      <c r="C58" s="297" t="s">
        <v>511</v>
      </c>
      <c r="D58" s="297" t="s">
        <v>194</v>
      </c>
      <c r="E58" s="298" t="s">
        <v>672</v>
      </c>
    </row>
    <row r="59" spans="1:5" ht="67.5" x14ac:dyDescent="0.3">
      <c r="A59" s="303">
        <v>51</v>
      </c>
      <c r="B59" s="303">
        <v>0.2</v>
      </c>
      <c r="C59" s="297" t="s">
        <v>509</v>
      </c>
      <c r="D59" s="297" t="s">
        <v>510</v>
      </c>
      <c r="E59" s="298" t="s">
        <v>672</v>
      </c>
    </row>
    <row r="60" spans="1:5" ht="90" x14ac:dyDescent="0.3">
      <c r="A60" s="303">
        <v>52</v>
      </c>
      <c r="B60" s="303">
        <v>0.2</v>
      </c>
      <c r="C60" s="297" t="s">
        <v>512</v>
      </c>
      <c r="D60" s="297" t="s">
        <v>195</v>
      </c>
      <c r="E60" s="298" t="s">
        <v>672</v>
      </c>
    </row>
    <row r="61" spans="1:5" ht="112.5" x14ac:dyDescent="0.3">
      <c r="A61" s="303">
        <v>53</v>
      </c>
      <c r="B61" s="303">
        <v>0.2</v>
      </c>
      <c r="C61" s="297" t="s">
        <v>513</v>
      </c>
      <c r="D61" s="297" t="s">
        <v>514</v>
      </c>
      <c r="E61" s="298" t="s">
        <v>672</v>
      </c>
    </row>
    <row r="62" spans="1:5" ht="90" x14ac:dyDescent="0.3">
      <c r="A62" s="303">
        <v>54</v>
      </c>
      <c r="B62" s="303">
        <v>0.2</v>
      </c>
      <c r="C62" s="297" t="s">
        <v>515</v>
      </c>
      <c r="D62" s="297" t="s">
        <v>196</v>
      </c>
      <c r="E62" s="298" t="s">
        <v>672</v>
      </c>
    </row>
    <row r="63" spans="1:5" ht="90" x14ac:dyDescent="0.3">
      <c r="A63" s="303">
        <v>55</v>
      </c>
      <c r="B63" s="303">
        <v>0.2</v>
      </c>
      <c r="C63" s="297" t="s">
        <v>516</v>
      </c>
      <c r="D63" s="297" t="s">
        <v>197</v>
      </c>
      <c r="E63" s="298" t="s">
        <v>672</v>
      </c>
    </row>
    <row r="64" spans="1:5" ht="135" x14ac:dyDescent="0.3">
      <c r="A64" s="303">
        <v>56</v>
      </c>
      <c r="B64" s="303">
        <v>0.2</v>
      </c>
      <c r="C64" s="297" t="s">
        <v>517</v>
      </c>
      <c r="D64" s="297" t="s">
        <v>198</v>
      </c>
      <c r="E64" s="298" t="s">
        <v>672</v>
      </c>
    </row>
    <row r="65" spans="1:5" ht="112.5" x14ac:dyDescent="0.3">
      <c r="A65" s="303">
        <v>57</v>
      </c>
      <c r="B65" s="303">
        <v>0.2</v>
      </c>
      <c r="C65" s="297" t="s">
        <v>518</v>
      </c>
      <c r="D65" s="297" t="s">
        <v>199</v>
      </c>
      <c r="E65" s="298" t="s">
        <v>672</v>
      </c>
    </row>
    <row r="66" spans="1:5" ht="135" x14ac:dyDescent="0.3">
      <c r="A66" s="303">
        <v>58</v>
      </c>
      <c r="B66" s="303">
        <v>0.2</v>
      </c>
      <c r="C66" s="297" t="s">
        <v>519</v>
      </c>
      <c r="D66" s="297" t="s">
        <v>200</v>
      </c>
      <c r="E66" s="298" t="s">
        <v>672</v>
      </c>
    </row>
    <row r="67" spans="1:5" ht="135" x14ac:dyDescent="0.3">
      <c r="A67" s="303">
        <v>59</v>
      </c>
      <c r="B67" s="303">
        <v>0.2</v>
      </c>
      <c r="C67" s="297" t="s">
        <v>520</v>
      </c>
      <c r="D67" s="297" t="s">
        <v>201</v>
      </c>
      <c r="E67" s="298" t="s">
        <v>672</v>
      </c>
    </row>
    <row r="68" spans="1:5" ht="90" x14ac:dyDescent="0.3">
      <c r="A68" s="303">
        <v>60</v>
      </c>
      <c r="B68" s="303">
        <v>0.2</v>
      </c>
      <c r="C68" s="297" t="s">
        <v>521</v>
      </c>
      <c r="D68" s="297" t="s">
        <v>522</v>
      </c>
      <c r="E68" s="298" t="s">
        <v>672</v>
      </c>
    </row>
    <row r="69" spans="1:5" ht="90" x14ac:dyDescent="0.3">
      <c r="A69" s="303">
        <v>61</v>
      </c>
      <c r="B69" s="303">
        <v>0.2</v>
      </c>
      <c r="C69" s="297" t="s">
        <v>202</v>
      </c>
      <c r="D69" s="297" t="s">
        <v>203</v>
      </c>
      <c r="E69" s="298" t="s">
        <v>672</v>
      </c>
    </row>
    <row r="70" spans="1:5" ht="90" x14ac:dyDescent="0.3">
      <c r="A70" s="303">
        <v>62</v>
      </c>
      <c r="B70" s="303">
        <v>0.2</v>
      </c>
      <c r="C70" s="297" t="s">
        <v>523</v>
      </c>
      <c r="D70" s="297" t="s">
        <v>204</v>
      </c>
      <c r="E70" s="298" t="s">
        <v>672</v>
      </c>
    </row>
    <row r="71" spans="1:5" ht="90" x14ac:dyDescent="0.3">
      <c r="A71" s="303">
        <v>63</v>
      </c>
      <c r="B71" s="303">
        <v>0.2</v>
      </c>
      <c r="C71" s="297" t="s">
        <v>205</v>
      </c>
      <c r="D71" s="297" t="s">
        <v>524</v>
      </c>
      <c r="E71" s="298" t="s">
        <v>672</v>
      </c>
    </row>
    <row r="72" spans="1:5" ht="112.5" x14ac:dyDescent="0.3">
      <c r="A72" s="303">
        <v>64</v>
      </c>
      <c r="B72" s="303">
        <v>0.2</v>
      </c>
      <c r="C72" s="297" t="s">
        <v>525</v>
      </c>
      <c r="D72" s="297" t="s">
        <v>808</v>
      </c>
      <c r="E72" s="298" t="s">
        <v>672</v>
      </c>
    </row>
    <row r="73" spans="1:5" ht="135" x14ac:dyDescent="0.3">
      <c r="A73" s="303">
        <v>65</v>
      </c>
      <c r="B73" s="303">
        <v>0.2</v>
      </c>
      <c r="C73" s="297" t="s">
        <v>526</v>
      </c>
      <c r="D73" s="297" t="s">
        <v>527</v>
      </c>
      <c r="E73" s="298" t="s">
        <v>672</v>
      </c>
    </row>
    <row r="74" spans="1:5" ht="112.5" x14ac:dyDescent="0.3">
      <c r="A74" s="303">
        <v>66</v>
      </c>
      <c r="B74" s="303">
        <v>0.2</v>
      </c>
      <c r="C74" s="297" t="s">
        <v>528</v>
      </c>
      <c r="D74" s="297" t="s">
        <v>206</v>
      </c>
      <c r="E74" s="298" t="s">
        <v>672</v>
      </c>
    </row>
    <row r="75" spans="1:5" ht="112.5" x14ac:dyDescent="0.3">
      <c r="A75" s="303">
        <v>67</v>
      </c>
      <c r="B75" s="303">
        <v>0.2</v>
      </c>
      <c r="C75" s="297" t="s">
        <v>529</v>
      </c>
      <c r="D75" s="297" t="s">
        <v>207</v>
      </c>
      <c r="E75" s="298" t="s">
        <v>672</v>
      </c>
    </row>
    <row r="76" spans="1:5" ht="135" x14ac:dyDescent="0.3">
      <c r="A76" s="303">
        <v>68</v>
      </c>
      <c r="B76" s="303">
        <v>0.2</v>
      </c>
      <c r="C76" s="297" t="s">
        <v>530</v>
      </c>
      <c r="D76" s="297" t="s">
        <v>208</v>
      </c>
      <c r="E76" s="298" t="s">
        <v>672</v>
      </c>
    </row>
    <row r="77" spans="1:5" ht="135" x14ac:dyDescent="0.3">
      <c r="A77" s="303">
        <v>69</v>
      </c>
      <c r="B77" s="303">
        <v>0.2</v>
      </c>
      <c r="C77" s="297" t="s">
        <v>531</v>
      </c>
      <c r="D77" s="297" t="s">
        <v>532</v>
      </c>
      <c r="E77" s="298" t="s">
        <v>672</v>
      </c>
    </row>
    <row r="78" spans="1:5" ht="112.5" x14ac:dyDescent="0.3">
      <c r="A78" s="303">
        <v>70</v>
      </c>
      <c r="B78" s="303">
        <v>0.2</v>
      </c>
      <c r="C78" s="297" t="s">
        <v>533</v>
      </c>
      <c r="D78" s="297" t="s">
        <v>534</v>
      </c>
      <c r="E78" s="298" t="s">
        <v>672</v>
      </c>
    </row>
    <row r="79" spans="1:5" ht="90" x14ac:dyDescent="0.3">
      <c r="A79" s="303">
        <v>71</v>
      </c>
      <c r="B79" s="303">
        <v>0.2</v>
      </c>
      <c r="C79" s="297" t="s">
        <v>535</v>
      </c>
      <c r="D79" s="297" t="s">
        <v>209</v>
      </c>
      <c r="E79" s="298" t="s">
        <v>672</v>
      </c>
    </row>
    <row r="80" spans="1:5" ht="112.5" x14ac:dyDescent="0.3">
      <c r="A80" s="303">
        <v>72</v>
      </c>
      <c r="B80" s="303">
        <v>0.2</v>
      </c>
      <c r="C80" s="297" t="s">
        <v>536</v>
      </c>
      <c r="D80" s="297" t="s">
        <v>210</v>
      </c>
      <c r="E80" s="298" t="s">
        <v>672</v>
      </c>
    </row>
    <row r="81" spans="1:5" ht="112.5" x14ac:dyDescent="0.3">
      <c r="A81" s="303">
        <v>73</v>
      </c>
      <c r="B81" s="303">
        <v>0.2</v>
      </c>
      <c r="C81" s="297" t="s">
        <v>537</v>
      </c>
      <c r="D81" s="297" t="s">
        <v>211</v>
      </c>
      <c r="E81" s="298" t="s">
        <v>672</v>
      </c>
    </row>
    <row r="82" spans="1:5" ht="112.5" x14ac:dyDescent="0.3">
      <c r="A82" s="303">
        <v>74</v>
      </c>
      <c r="B82" s="303">
        <v>0.2</v>
      </c>
      <c r="C82" s="297" t="s">
        <v>538</v>
      </c>
      <c r="D82" s="297" t="s">
        <v>212</v>
      </c>
      <c r="E82" s="298" t="s">
        <v>672</v>
      </c>
    </row>
    <row r="83" spans="1:5" ht="135" x14ac:dyDescent="0.3">
      <c r="A83" s="303">
        <v>75</v>
      </c>
      <c r="B83" s="303">
        <v>0.2</v>
      </c>
      <c r="C83" s="297" t="s">
        <v>539</v>
      </c>
      <c r="D83" s="297" t="s">
        <v>540</v>
      </c>
      <c r="E83" s="298" t="s">
        <v>672</v>
      </c>
    </row>
    <row r="84" spans="1:5" ht="90" x14ac:dyDescent="0.3">
      <c r="A84" s="303">
        <v>76</v>
      </c>
      <c r="B84" s="303">
        <v>0.2</v>
      </c>
      <c r="C84" s="297" t="s">
        <v>541</v>
      </c>
      <c r="D84" s="297" t="s">
        <v>213</v>
      </c>
      <c r="E84" s="298" t="s">
        <v>672</v>
      </c>
    </row>
    <row r="85" spans="1:5" ht="67.5" x14ac:dyDescent="0.3">
      <c r="A85" s="303">
        <v>77</v>
      </c>
      <c r="B85" s="303">
        <v>0.2</v>
      </c>
      <c r="C85" s="297" t="s">
        <v>542</v>
      </c>
      <c r="D85" s="297" t="s">
        <v>543</v>
      </c>
      <c r="E85" s="298" t="s">
        <v>672</v>
      </c>
    </row>
    <row r="86" spans="1:5" ht="90" x14ac:dyDescent="0.3">
      <c r="A86" s="303">
        <v>78</v>
      </c>
      <c r="B86" s="303">
        <v>0.2</v>
      </c>
      <c r="C86" s="297" t="s">
        <v>544</v>
      </c>
      <c r="D86" s="297" t="s">
        <v>214</v>
      </c>
      <c r="E86" s="298" t="s">
        <v>672</v>
      </c>
    </row>
    <row r="87" spans="1:5" ht="34.9" customHeight="1" x14ac:dyDescent="0.3">
      <c r="A87" s="303">
        <v>79</v>
      </c>
      <c r="B87" s="303">
        <v>0.2</v>
      </c>
      <c r="C87" s="297" t="s">
        <v>545</v>
      </c>
      <c r="D87" s="297" t="s">
        <v>546</v>
      </c>
      <c r="E87" s="298" t="s">
        <v>672</v>
      </c>
    </row>
    <row r="88" spans="1:5" ht="22.5" x14ac:dyDescent="0.3">
      <c r="A88" s="532">
        <v>80</v>
      </c>
      <c r="B88" s="532">
        <v>0.2</v>
      </c>
      <c r="C88" s="299" t="s">
        <v>133</v>
      </c>
      <c r="D88" s="300"/>
      <c r="E88" s="301"/>
    </row>
    <row r="89" spans="1:5" ht="90" x14ac:dyDescent="0.3">
      <c r="A89" s="532"/>
      <c r="B89" s="532"/>
      <c r="C89" s="297" t="s">
        <v>215</v>
      </c>
      <c r="D89" s="297" t="s">
        <v>216</v>
      </c>
      <c r="E89" s="298" t="s">
        <v>661</v>
      </c>
    </row>
    <row r="90" spans="1:5" x14ac:dyDescent="0.3">
      <c r="A90" s="532">
        <v>81</v>
      </c>
      <c r="B90" s="532">
        <v>0.2</v>
      </c>
      <c r="C90" s="537" t="s">
        <v>217</v>
      </c>
      <c r="D90" s="537" t="s">
        <v>218</v>
      </c>
      <c r="E90" s="541" t="s">
        <v>661</v>
      </c>
    </row>
    <row r="91" spans="1:5" x14ac:dyDescent="0.3">
      <c r="A91" s="532"/>
      <c r="B91" s="532"/>
      <c r="C91" s="537"/>
      <c r="D91" s="537"/>
      <c r="E91" s="542"/>
    </row>
    <row r="92" spans="1:5" x14ac:dyDescent="0.3">
      <c r="A92" s="532"/>
      <c r="B92" s="532"/>
      <c r="C92" s="537"/>
      <c r="D92" s="537"/>
      <c r="E92" s="543"/>
    </row>
    <row r="93" spans="1:5" ht="90" x14ac:dyDescent="0.3">
      <c r="A93" s="303">
        <v>82</v>
      </c>
      <c r="B93" s="303">
        <v>0.2</v>
      </c>
      <c r="C93" s="297" t="s">
        <v>219</v>
      </c>
      <c r="D93" s="297" t="s">
        <v>220</v>
      </c>
      <c r="E93" s="298" t="s">
        <v>661</v>
      </c>
    </row>
    <row r="94" spans="1:5" ht="90" x14ac:dyDescent="0.3">
      <c r="A94" s="303">
        <v>83</v>
      </c>
      <c r="B94" s="303">
        <v>0.2</v>
      </c>
      <c r="C94" s="297" t="s">
        <v>221</v>
      </c>
      <c r="D94" s="297" t="s">
        <v>222</v>
      </c>
      <c r="E94" s="298" t="s">
        <v>661</v>
      </c>
    </row>
    <row r="95" spans="1:5" ht="90" x14ac:dyDescent="0.3">
      <c r="A95" s="303">
        <v>84</v>
      </c>
      <c r="B95" s="303">
        <v>0.2</v>
      </c>
      <c r="C95" s="297" t="s">
        <v>547</v>
      </c>
      <c r="D95" s="297" t="s">
        <v>224</v>
      </c>
      <c r="E95" s="298" t="s">
        <v>661</v>
      </c>
    </row>
    <row r="96" spans="1:5" ht="90" x14ac:dyDescent="0.3">
      <c r="A96" s="303">
        <v>85</v>
      </c>
      <c r="B96" s="303">
        <v>0.2</v>
      </c>
      <c r="C96" s="297" t="s">
        <v>225</v>
      </c>
      <c r="D96" s="297" t="s">
        <v>226</v>
      </c>
      <c r="E96" s="298" t="s">
        <v>661</v>
      </c>
    </row>
    <row r="97" spans="1:5" ht="112.5" x14ac:dyDescent="0.3">
      <c r="A97" s="303">
        <v>86</v>
      </c>
      <c r="B97" s="303">
        <v>0.2</v>
      </c>
      <c r="C97" s="297" t="s">
        <v>227</v>
      </c>
      <c r="D97" s="297" t="s">
        <v>548</v>
      </c>
      <c r="E97" s="298" t="s">
        <v>661</v>
      </c>
    </row>
    <row r="98" spans="1:5" ht="112.5" x14ac:dyDescent="0.3">
      <c r="A98" s="303">
        <v>87</v>
      </c>
      <c r="B98" s="303">
        <v>0.2</v>
      </c>
      <c r="C98" s="297" t="s">
        <v>228</v>
      </c>
      <c r="D98" s="297" t="s">
        <v>229</v>
      </c>
      <c r="E98" s="298" t="s">
        <v>661</v>
      </c>
    </row>
    <row r="99" spans="1:5" ht="90" x14ac:dyDescent="0.3">
      <c r="A99" s="303">
        <v>88</v>
      </c>
      <c r="B99" s="303">
        <v>0.2</v>
      </c>
      <c r="C99" s="297" t="s">
        <v>230</v>
      </c>
      <c r="D99" s="297" t="s">
        <v>231</v>
      </c>
      <c r="E99" s="298" t="s">
        <v>661</v>
      </c>
    </row>
    <row r="100" spans="1:5" ht="90" x14ac:dyDescent="0.3">
      <c r="A100" s="303">
        <v>89</v>
      </c>
      <c r="B100" s="303">
        <v>0.2</v>
      </c>
      <c r="C100" s="297" t="s">
        <v>232</v>
      </c>
      <c r="D100" s="297" t="s">
        <v>233</v>
      </c>
      <c r="E100" s="298" t="s">
        <v>661</v>
      </c>
    </row>
    <row r="101" spans="1:5" ht="67.5" x14ac:dyDescent="0.3">
      <c r="A101" s="303">
        <v>90</v>
      </c>
      <c r="B101" s="303">
        <v>0.2</v>
      </c>
      <c r="C101" s="297" t="s">
        <v>234</v>
      </c>
      <c r="D101" s="297" t="s">
        <v>549</v>
      </c>
      <c r="E101" s="298" t="s">
        <v>661</v>
      </c>
    </row>
    <row r="102" spans="1:5" ht="67.5" x14ac:dyDescent="0.3">
      <c r="A102" s="303">
        <v>91</v>
      </c>
      <c r="B102" s="303">
        <v>0.2</v>
      </c>
      <c r="C102" s="297" t="s">
        <v>234</v>
      </c>
      <c r="D102" s="297" t="s">
        <v>235</v>
      </c>
      <c r="E102" s="298" t="s">
        <v>661</v>
      </c>
    </row>
    <row r="103" spans="1:5" ht="90" x14ac:dyDescent="0.3">
      <c r="A103" s="303">
        <v>92</v>
      </c>
      <c r="B103" s="303">
        <v>0.2</v>
      </c>
      <c r="C103" s="297" t="s">
        <v>550</v>
      </c>
      <c r="D103" s="297" t="s">
        <v>236</v>
      </c>
      <c r="E103" s="298" t="s">
        <v>661</v>
      </c>
    </row>
    <row r="104" spans="1:5" ht="67.5" x14ac:dyDescent="0.3">
      <c r="A104" s="303">
        <v>93</v>
      </c>
      <c r="B104" s="303">
        <v>0.2</v>
      </c>
      <c r="C104" s="297" t="s">
        <v>237</v>
      </c>
      <c r="D104" s="297" t="s">
        <v>238</v>
      </c>
      <c r="E104" s="298" t="s">
        <v>661</v>
      </c>
    </row>
    <row r="105" spans="1:5" ht="67.5" x14ac:dyDescent="0.3">
      <c r="A105" s="303">
        <v>94</v>
      </c>
      <c r="B105" s="303">
        <v>0.2</v>
      </c>
      <c r="C105" s="297" t="s">
        <v>551</v>
      </c>
      <c r="D105" s="297" t="s">
        <v>239</v>
      </c>
      <c r="E105" s="298" t="s">
        <v>661</v>
      </c>
    </row>
    <row r="106" spans="1:5" ht="67.5" x14ac:dyDescent="0.3">
      <c r="A106" s="303">
        <v>95</v>
      </c>
      <c r="B106" s="303">
        <v>0.2</v>
      </c>
      <c r="C106" s="297" t="s">
        <v>552</v>
      </c>
      <c r="D106" s="297" t="s">
        <v>554</v>
      </c>
      <c r="E106" s="298" t="s">
        <v>661</v>
      </c>
    </row>
    <row r="107" spans="1:5" ht="67.5" x14ac:dyDescent="0.3">
      <c r="A107" s="303">
        <v>96</v>
      </c>
      <c r="B107" s="303">
        <v>0.2</v>
      </c>
      <c r="C107" s="297" t="s">
        <v>240</v>
      </c>
      <c r="D107" s="297" t="s">
        <v>553</v>
      </c>
      <c r="E107" s="298" t="s">
        <v>661</v>
      </c>
    </row>
    <row r="108" spans="1:5" ht="67.5" x14ac:dyDescent="0.3">
      <c r="A108" s="303">
        <v>97</v>
      </c>
      <c r="B108" s="303">
        <v>0.2</v>
      </c>
      <c r="C108" s="297" t="s">
        <v>241</v>
      </c>
      <c r="D108" s="297" t="s">
        <v>242</v>
      </c>
      <c r="E108" s="298" t="s">
        <v>661</v>
      </c>
    </row>
    <row r="109" spans="1:5" ht="112.5" x14ac:dyDescent="0.3">
      <c r="A109" s="303">
        <v>98</v>
      </c>
      <c r="B109" s="303">
        <v>0.2</v>
      </c>
      <c r="C109" s="297" t="s">
        <v>243</v>
      </c>
      <c r="D109" s="297" t="s">
        <v>555</v>
      </c>
      <c r="E109" s="298" t="s">
        <v>661</v>
      </c>
    </row>
    <row r="110" spans="1:5" ht="90" x14ac:dyDescent="0.3">
      <c r="A110" s="303">
        <v>99</v>
      </c>
      <c r="B110" s="303">
        <v>0.2</v>
      </c>
      <c r="C110" s="297" t="s">
        <v>244</v>
      </c>
      <c r="D110" s="297" t="s">
        <v>245</v>
      </c>
      <c r="E110" s="298" t="s">
        <v>661</v>
      </c>
    </row>
    <row r="111" spans="1:5" ht="90" x14ac:dyDescent="0.3">
      <c r="A111" s="303">
        <v>100</v>
      </c>
      <c r="B111" s="303">
        <v>0.2</v>
      </c>
      <c r="C111" s="297" t="s">
        <v>556</v>
      </c>
      <c r="D111" s="297" t="s">
        <v>246</v>
      </c>
      <c r="E111" s="298" t="s">
        <v>661</v>
      </c>
    </row>
    <row r="112" spans="1:5" ht="90" x14ac:dyDescent="0.3">
      <c r="A112" s="303">
        <v>101</v>
      </c>
      <c r="B112" s="303">
        <v>0.2</v>
      </c>
      <c r="C112" s="297" t="s">
        <v>247</v>
      </c>
      <c r="D112" s="297" t="s">
        <v>248</v>
      </c>
      <c r="E112" s="298" t="s">
        <v>661</v>
      </c>
    </row>
    <row r="113" spans="1:5" ht="112.5" x14ac:dyDescent="0.3">
      <c r="A113" s="303">
        <v>102</v>
      </c>
      <c r="B113" s="303">
        <v>0.2</v>
      </c>
      <c r="C113" s="297" t="s">
        <v>249</v>
      </c>
      <c r="D113" s="297" t="s">
        <v>250</v>
      </c>
      <c r="E113" s="306" t="s">
        <v>659</v>
      </c>
    </row>
    <row r="114" spans="1:5" ht="112.5" x14ac:dyDescent="0.3">
      <c r="A114" s="303">
        <v>103</v>
      </c>
      <c r="B114" s="303">
        <v>0.2</v>
      </c>
      <c r="C114" s="297" t="s">
        <v>249</v>
      </c>
      <c r="D114" s="297" t="s">
        <v>251</v>
      </c>
      <c r="E114" s="306" t="s">
        <v>659</v>
      </c>
    </row>
    <row r="115" spans="1:5" ht="90" x14ac:dyDescent="0.3">
      <c r="A115" s="303">
        <v>104</v>
      </c>
      <c r="B115" s="303">
        <v>0.2</v>
      </c>
      <c r="C115" s="297" t="s">
        <v>221</v>
      </c>
      <c r="D115" s="297" t="s">
        <v>252</v>
      </c>
      <c r="E115" s="298" t="s">
        <v>661</v>
      </c>
    </row>
    <row r="116" spans="1:5" ht="67.5" x14ac:dyDescent="0.3">
      <c r="A116" s="303">
        <v>105</v>
      </c>
      <c r="B116" s="303">
        <v>0.2</v>
      </c>
      <c r="C116" s="297" t="s">
        <v>221</v>
      </c>
      <c r="D116" s="297" t="s">
        <v>253</v>
      </c>
      <c r="E116" s="298" t="s">
        <v>661</v>
      </c>
    </row>
    <row r="117" spans="1:5" ht="67.5" x14ac:dyDescent="0.3">
      <c r="A117" s="303">
        <v>106</v>
      </c>
      <c r="B117" s="303">
        <v>0.2</v>
      </c>
      <c r="C117" s="297" t="s">
        <v>254</v>
      </c>
      <c r="D117" s="297" t="s">
        <v>255</v>
      </c>
      <c r="E117" s="298" t="s">
        <v>661</v>
      </c>
    </row>
    <row r="118" spans="1:5" ht="22.5" x14ac:dyDescent="0.3">
      <c r="A118" s="303"/>
      <c r="B118" s="303">
        <f>SUM(B5:B117)</f>
        <v>21.199999999999957</v>
      </c>
      <c r="C118" s="297"/>
      <c r="D118" s="297"/>
      <c r="E118" s="298"/>
    </row>
    <row r="119" spans="1:5" ht="55.15" customHeight="1" x14ac:dyDescent="0.3">
      <c r="A119" s="535" t="s">
        <v>256</v>
      </c>
      <c r="B119" s="535"/>
      <c r="C119" s="535"/>
      <c r="D119" s="535"/>
      <c r="E119" s="298"/>
    </row>
    <row r="120" spans="1:5" ht="22.5" x14ac:dyDescent="0.3">
      <c r="A120" s="307"/>
      <c r="B120" s="535" t="s">
        <v>257</v>
      </c>
      <c r="C120" s="535"/>
      <c r="D120" s="535"/>
      <c r="E120" s="298"/>
    </row>
    <row r="121" spans="1:5" ht="22.5" x14ac:dyDescent="0.3">
      <c r="A121" s="532">
        <v>1</v>
      </c>
      <c r="B121" s="532">
        <v>0.4</v>
      </c>
      <c r="C121" s="296" t="s">
        <v>133</v>
      </c>
      <c r="D121" s="297"/>
      <c r="E121" s="298"/>
    </row>
    <row r="122" spans="1:5" ht="90" x14ac:dyDescent="0.3">
      <c r="A122" s="532"/>
      <c r="B122" s="532"/>
      <c r="C122" s="305" t="s">
        <v>221</v>
      </c>
      <c r="D122" s="297" t="s">
        <v>809</v>
      </c>
      <c r="E122" s="298"/>
    </row>
    <row r="123" spans="1:5" ht="67.5" x14ac:dyDescent="0.3">
      <c r="A123" s="303">
        <v>2</v>
      </c>
      <c r="B123" s="303">
        <v>0.4</v>
      </c>
      <c r="C123" s="297" t="s">
        <v>223</v>
      </c>
      <c r="D123" s="297" t="s">
        <v>258</v>
      </c>
      <c r="E123" s="298"/>
    </row>
    <row r="124" spans="1:5" ht="67.5" x14ac:dyDescent="0.3">
      <c r="A124" s="303">
        <v>3</v>
      </c>
      <c r="B124" s="303">
        <v>0.4</v>
      </c>
      <c r="C124" s="297" t="s">
        <v>259</v>
      </c>
      <c r="D124" s="297" t="s">
        <v>557</v>
      </c>
      <c r="E124" s="298"/>
    </row>
    <row r="125" spans="1:5" ht="67.5" x14ac:dyDescent="0.3">
      <c r="A125" s="303">
        <v>4</v>
      </c>
      <c r="B125" s="303">
        <v>0.4</v>
      </c>
      <c r="C125" s="297" t="s">
        <v>259</v>
      </c>
      <c r="D125" s="297" t="s">
        <v>260</v>
      </c>
      <c r="E125" s="298"/>
    </row>
    <row r="126" spans="1:5" ht="70.5" x14ac:dyDescent="0.3">
      <c r="A126" s="303">
        <v>5</v>
      </c>
      <c r="B126" s="303">
        <v>0.4</v>
      </c>
      <c r="C126" s="297" t="s">
        <v>261</v>
      </c>
      <c r="D126" s="297" t="s">
        <v>810</v>
      </c>
      <c r="E126" s="298"/>
    </row>
    <row r="127" spans="1:5" ht="67.5" x14ac:dyDescent="0.3">
      <c r="A127" s="303">
        <v>6</v>
      </c>
      <c r="B127" s="303">
        <v>0.4</v>
      </c>
      <c r="C127" s="297" t="s">
        <v>261</v>
      </c>
      <c r="D127" s="297" t="s">
        <v>558</v>
      </c>
      <c r="E127" s="298"/>
    </row>
    <row r="128" spans="1:5" ht="67.5" x14ac:dyDescent="0.3">
      <c r="A128" s="303">
        <v>7</v>
      </c>
      <c r="B128" s="303">
        <v>0.4</v>
      </c>
      <c r="C128" s="297" t="s">
        <v>262</v>
      </c>
      <c r="D128" s="297" t="s">
        <v>263</v>
      </c>
      <c r="E128" s="298"/>
    </row>
    <row r="129" spans="1:5" ht="90" x14ac:dyDescent="0.3">
      <c r="A129" s="303">
        <v>8</v>
      </c>
      <c r="B129" s="303">
        <v>0.4</v>
      </c>
      <c r="C129" s="297" t="s">
        <v>559</v>
      </c>
      <c r="D129" s="297" t="s">
        <v>264</v>
      </c>
      <c r="E129" s="306" t="s">
        <v>659</v>
      </c>
    </row>
    <row r="130" spans="1:5" ht="67.5" x14ac:dyDescent="0.3">
      <c r="A130" s="303">
        <v>9</v>
      </c>
      <c r="B130" s="303">
        <v>0.4</v>
      </c>
      <c r="C130" s="297" t="s">
        <v>560</v>
      </c>
      <c r="D130" s="297" t="s">
        <v>266</v>
      </c>
      <c r="E130" s="298" t="s">
        <v>661</v>
      </c>
    </row>
    <row r="131" spans="1:5" ht="67.5" x14ac:dyDescent="0.3">
      <c r="A131" s="303">
        <v>10</v>
      </c>
      <c r="B131" s="303">
        <v>0.4</v>
      </c>
      <c r="C131" s="297" t="s">
        <v>265</v>
      </c>
      <c r="D131" s="297" t="s">
        <v>267</v>
      </c>
      <c r="E131" s="306" t="s">
        <v>659</v>
      </c>
    </row>
    <row r="132" spans="1:5" ht="93" x14ac:dyDescent="0.3">
      <c r="A132" s="303">
        <v>11</v>
      </c>
      <c r="B132" s="303">
        <v>0.4</v>
      </c>
      <c r="C132" s="297" t="s">
        <v>268</v>
      </c>
      <c r="D132" s="297" t="s">
        <v>811</v>
      </c>
      <c r="E132" s="306" t="s">
        <v>659</v>
      </c>
    </row>
    <row r="133" spans="1:5" ht="90" x14ac:dyDescent="0.3">
      <c r="A133" s="303">
        <v>12</v>
      </c>
      <c r="B133" s="303">
        <v>0.4</v>
      </c>
      <c r="C133" s="297" t="s">
        <v>561</v>
      </c>
      <c r="D133" s="297" t="s">
        <v>269</v>
      </c>
      <c r="E133" s="298"/>
    </row>
    <row r="134" spans="1:5" ht="90" x14ac:dyDescent="0.3">
      <c r="A134" s="303">
        <v>13</v>
      </c>
      <c r="B134" s="303">
        <v>0.4</v>
      </c>
      <c r="C134" s="297" t="s">
        <v>270</v>
      </c>
      <c r="D134" s="297" t="s">
        <v>271</v>
      </c>
      <c r="E134" s="298"/>
    </row>
    <row r="135" spans="1:5" ht="67.5" x14ac:dyDescent="0.3">
      <c r="A135" s="303">
        <v>14</v>
      </c>
      <c r="B135" s="303">
        <v>0.4</v>
      </c>
      <c r="C135" s="297" t="s">
        <v>272</v>
      </c>
      <c r="D135" s="297" t="s">
        <v>273</v>
      </c>
      <c r="E135" s="298"/>
    </row>
    <row r="136" spans="1:5" ht="90" x14ac:dyDescent="0.3">
      <c r="A136" s="303">
        <v>15</v>
      </c>
      <c r="B136" s="303">
        <v>0.4</v>
      </c>
      <c r="C136" s="297" t="s">
        <v>274</v>
      </c>
      <c r="D136" s="297" t="s">
        <v>275</v>
      </c>
      <c r="E136" s="298"/>
    </row>
    <row r="137" spans="1:5" ht="93" x14ac:dyDescent="0.3">
      <c r="A137" s="303">
        <v>16</v>
      </c>
      <c r="B137" s="303">
        <v>0.4</v>
      </c>
      <c r="C137" s="297" t="s">
        <v>274</v>
      </c>
      <c r="D137" s="297" t="s">
        <v>812</v>
      </c>
      <c r="E137" s="298"/>
    </row>
    <row r="138" spans="1:5" ht="67.5" x14ac:dyDescent="0.3">
      <c r="A138" s="303">
        <v>17</v>
      </c>
      <c r="B138" s="303">
        <v>0.4</v>
      </c>
      <c r="C138" s="297" t="s">
        <v>276</v>
      </c>
      <c r="D138" s="297" t="s">
        <v>277</v>
      </c>
      <c r="E138" s="298"/>
    </row>
    <row r="139" spans="1:5" ht="90" x14ac:dyDescent="0.3">
      <c r="A139" s="303">
        <v>18</v>
      </c>
      <c r="B139" s="303">
        <v>0.4</v>
      </c>
      <c r="C139" s="297" t="s">
        <v>278</v>
      </c>
      <c r="D139" s="297" t="s">
        <v>279</v>
      </c>
      <c r="E139" s="298"/>
    </row>
    <row r="140" spans="1:5" ht="90" x14ac:dyDescent="0.3">
      <c r="A140" s="303">
        <v>19</v>
      </c>
      <c r="B140" s="303">
        <v>0.4</v>
      </c>
      <c r="C140" s="297" t="s">
        <v>261</v>
      </c>
      <c r="D140" s="297" t="s">
        <v>813</v>
      </c>
      <c r="E140" s="306" t="s">
        <v>659</v>
      </c>
    </row>
    <row r="141" spans="1:5" ht="93" x14ac:dyDescent="0.3">
      <c r="A141" s="303">
        <v>20</v>
      </c>
      <c r="B141" s="303">
        <v>0.4</v>
      </c>
      <c r="C141" s="297" t="s">
        <v>280</v>
      </c>
      <c r="D141" s="297" t="s">
        <v>814</v>
      </c>
      <c r="E141" s="298"/>
    </row>
    <row r="142" spans="1:5" ht="93" x14ac:dyDescent="0.3">
      <c r="A142" s="303">
        <v>21</v>
      </c>
      <c r="B142" s="303">
        <v>0.4</v>
      </c>
      <c r="C142" s="297" t="s">
        <v>280</v>
      </c>
      <c r="D142" s="297" t="s">
        <v>815</v>
      </c>
      <c r="E142" s="298"/>
    </row>
    <row r="143" spans="1:5" ht="93" x14ac:dyDescent="0.3">
      <c r="A143" s="303">
        <v>22</v>
      </c>
      <c r="B143" s="303">
        <v>0.4</v>
      </c>
      <c r="C143" s="297" t="s">
        <v>562</v>
      </c>
      <c r="D143" s="297" t="s">
        <v>816</v>
      </c>
      <c r="E143" s="298"/>
    </row>
    <row r="144" spans="1:5" ht="93" x14ac:dyDescent="0.3">
      <c r="A144" s="303">
        <v>23</v>
      </c>
      <c r="B144" s="303">
        <v>0.4</v>
      </c>
      <c r="C144" s="297" t="s">
        <v>563</v>
      </c>
      <c r="D144" s="297" t="s">
        <v>817</v>
      </c>
      <c r="E144" s="298"/>
    </row>
    <row r="145" spans="1:5" ht="22.5" x14ac:dyDescent="0.3">
      <c r="A145" s="532">
        <v>24</v>
      </c>
      <c r="B145" s="532">
        <v>0.4</v>
      </c>
      <c r="C145" s="296" t="s">
        <v>137</v>
      </c>
      <c r="D145" s="297"/>
      <c r="E145" s="298"/>
    </row>
    <row r="146" spans="1:5" ht="90" x14ac:dyDescent="0.3">
      <c r="A146" s="532"/>
      <c r="B146" s="532"/>
      <c r="C146" s="297" t="s">
        <v>564</v>
      </c>
      <c r="D146" s="297" t="s">
        <v>281</v>
      </c>
      <c r="E146" s="298"/>
    </row>
    <row r="147" spans="1:5" ht="22.5" x14ac:dyDescent="0.3">
      <c r="A147" s="532">
        <v>25</v>
      </c>
      <c r="B147" s="532">
        <v>0.4</v>
      </c>
      <c r="C147" s="296" t="s">
        <v>136</v>
      </c>
      <c r="D147" s="297"/>
      <c r="E147" s="298"/>
    </row>
    <row r="148" spans="1:5" ht="45" x14ac:dyDescent="0.3">
      <c r="A148" s="532"/>
      <c r="B148" s="532"/>
      <c r="C148" s="297" t="s">
        <v>282</v>
      </c>
      <c r="D148" s="297" t="s">
        <v>283</v>
      </c>
      <c r="E148" s="298"/>
    </row>
    <row r="149" spans="1:5" ht="67.5" x14ac:dyDescent="0.3">
      <c r="A149" s="303">
        <v>26</v>
      </c>
      <c r="B149" s="303">
        <v>0.4</v>
      </c>
      <c r="C149" s="297" t="s">
        <v>565</v>
      </c>
      <c r="D149" s="297" t="s">
        <v>284</v>
      </c>
      <c r="E149" s="298"/>
    </row>
    <row r="150" spans="1:5" ht="90" x14ac:dyDescent="0.3">
      <c r="A150" s="303">
        <v>27</v>
      </c>
      <c r="B150" s="303">
        <v>0.4</v>
      </c>
      <c r="C150" s="297" t="s">
        <v>566</v>
      </c>
      <c r="D150" s="297" t="s">
        <v>285</v>
      </c>
      <c r="E150" s="298"/>
    </row>
    <row r="151" spans="1:5" ht="22.5" x14ac:dyDescent="0.3">
      <c r="A151" s="532">
        <v>28</v>
      </c>
      <c r="B151" s="532">
        <v>0.4</v>
      </c>
      <c r="C151" s="296" t="s">
        <v>141</v>
      </c>
      <c r="D151" s="297"/>
      <c r="E151" s="298"/>
    </row>
    <row r="152" spans="1:5" ht="67.5" x14ac:dyDescent="0.3">
      <c r="A152" s="532"/>
      <c r="B152" s="532"/>
      <c r="C152" s="297" t="s">
        <v>286</v>
      </c>
      <c r="D152" s="297" t="s">
        <v>287</v>
      </c>
      <c r="E152" s="298"/>
    </row>
    <row r="153" spans="1:5" ht="22.5" x14ac:dyDescent="0.3">
      <c r="A153" s="532">
        <v>29</v>
      </c>
      <c r="B153" s="532">
        <v>0.4</v>
      </c>
      <c r="C153" s="296" t="s">
        <v>139</v>
      </c>
      <c r="D153" s="297"/>
      <c r="E153" s="298"/>
    </row>
    <row r="154" spans="1:5" ht="48" x14ac:dyDescent="0.3">
      <c r="A154" s="532"/>
      <c r="B154" s="532"/>
      <c r="C154" s="297" t="s">
        <v>288</v>
      </c>
      <c r="D154" s="297" t="s">
        <v>818</v>
      </c>
      <c r="E154" s="298"/>
    </row>
    <row r="155" spans="1:5" ht="22.5" x14ac:dyDescent="0.3">
      <c r="A155" s="303"/>
      <c r="B155" s="303">
        <f>SUM(B121:B154)</f>
        <v>11.600000000000005</v>
      </c>
      <c r="C155" s="297"/>
      <c r="D155" s="297"/>
      <c r="E155" s="298"/>
    </row>
    <row r="156" spans="1:5" ht="21" customHeight="1" x14ac:dyDescent="0.3">
      <c r="A156" s="535" t="s">
        <v>289</v>
      </c>
      <c r="B156" s="535"/>
      <c r="C156" s="535"/>
      <c r="D156" s="535"/>
      <c r="E156" s="298"/>
    </row>
    <row r="157" spans="1:5" ht="22.5" x14ac:dyDescent="0.3">
      <c r="A157" s="532">
        <v>1</v>
      </c>
      <c r="B157" s="532">
        <v>0.6</v>
      </c>
      <c r="C157" s="308" t="s">
        <v>140</v>
      </c>
      <c r="D157" s="309"/>
      <c r="E157" s="310" t="s">
        <v>672</v>
      </c>
    </row>
    <row r="158" spans="1:5" ht="45" x14ac:dyDescent="0.3">
      <c r="A158" s="532"/>
      <c r="B158" s="532"/>
      <c r="C158" s="297" t="s">
        <v>567</v>
      </c>
      <c r="D158" s="297" t="s">
        <v>568</v>
      </c>
      <c r="E158" s="298" t="s">
        <v>672</v>
      </c>
    </row>
    <row r="159" spans="1:5" ht="22.5" x14ac:dyDescent="0.3">
      <c r="A159" s="532">
        <v>2</v>
      </c>
      <c r="B159" s="532">
        <v>0.6</v>
      </c>
      <c r="C159" s="308" t="s">
        <v>136</v>
      </c>
      <c r="D159" s="309"/>
      <c r="E159" s="310"/>
    </row>
    <row r="160" spans="1:5" ht="45" x14ac:dyDescent="0.3">
      <c r="A160" s="532"/>
      <c r="B160" s="532"/>
      <c r="C160" s="297" t="s">
        <v>290</v>
      </c>
      <c r="D160" s="297" t="s">
        <v>291</v>
      </c>
      <c r="E160" s="298" t="s">
        <v>661</v>
      </c>
    </row>
    <row r="161" spans="1:5" ht="45" x14ac:dyDescent="0.3">
      <c r="A161" s="303">
        <v>3</v>
      </c>
      <c r="B161" s="303">
        <v>0.6</v>
      </c>
      <c r="C161" s="297" t="s">
        <v>292</v>
      </c>
      <c r="D161" s="297" t="s">
        <v>293</v>
      </c>
      <c r="E161" s="298" t="s">
        <v>661</v>
      </c>
    </row>
    <row r="162" spans="1:5" ht="22.5" x14ac:dyDescent="0.3">
      <c r="A162" s="303">
        <v>4</v>
      </c>
      <c r="B162" s="303">
        <v>0.6</v>
      </c>
      <c r="C162" s="297" t="s">
        <v>294</v>
      </c>
      <c r="D162" s="297" t="s">
        <v>295</v>
      </c>
      <c r="E162" s="298" t="s">
        <v>661</v>
      </c>
    </row>
    <row r="163" spans="1:5" ht="45" x14ac:dyDescent="0.3">
      <c r="A163" s="303">
        <v>5</v>
      </c>
      <c r="B163" s="303">
        <v>0.6</v>
      </c>
      <c r="C163" s="297" t="s">
        <v>296</v>
      </c>
      <c r="D163" s="297" t="s">
        <v>297</v>
      </c>
      <c r="E163" s="298" t="s">
        <v>661</v>
      </c>
    </row>
    <row r="164" spans="1:5" ht="45" x14ac:dyDescent="0.3">
      <c r="A164" s="532">
        <v>6</v>
      </c>
      <c r="B164" s="532">
        <v>0.6</v>
      </c>
      <c r="C164" s="537" t="s">
        <v>298</v>
      </c>
      <c r="D164" s="297" t="s">
        <v>299</v>
      </c>
      <c r="E164" s="298" t="s">
        <v>661</v>
      </c>
    </row>
    <row r="165" spans="1:5" ht="22.5" x14ac:dyDescent="0.3">
      <c r="A165" s="532"/>
      <c r="B165" s="532"/>
      <c r="C165" s="537"/>
      <c r="D165" s="297" t="s">
        <v>300</v>
      </c>
      <c r="E165" s="298" t="s">
        <v>661</v>
      </c>
    </row>
    <row r="166" spans="1:5" ht="22.5" x14ac:dyDescent="0.3">
      <c r="A166" s="532">
        <v>7</v>
      </c>
      <c r="B166" s="532">
        <v>0.6</v>
      </c>
      <c r="C166" s="308" t="s">
        <v>133</v>
      </c>
      <c r="D166" s="309"/>
      <c r="E166" s="310"/>
    </row>
    <row r="167" spans="1:5" ht="67.5" x14ac:dyDescent="0.3">
      <c r="A167" s="532"/>
      <c r="B167" s="532"/>
      <c r="C167" s="297" t="s">
        <v>569</v>
      </c>
      <c r="D167" s="297" t="s">
        <v>301</v>
      </c>
      <c r="E167" s="298" t="s">
        <v>661</v>
      </c>
    </row>
    <row r="168" spans="1:5" ht="112.5" x14ac:dyDescent="0.3">
      <c r="A168" s="303">
        <v>8</v>
      </c>
      <c r="B168" s="303">
        <v>0.6</v>
      </c>
      <c r="C168" s="297" t="s">
        <v>570</v>
      </c>
      <c r="D168" s="297" t="s">
        <v>302</v>
      </c>
      <c r="E168" s="298" t="s">
        <v>661</v>
      </c>
    </row>
    <row r="169" spans="1:5" ht="67.5" x14ac:dyDescent="0.3">
      <c r="A169" s="303">
        <v>9</v>
      </c>
      <c r="B169" s="303">
        <v>0.6</v>
      </c>
      <c r="C169" s="297" t="s">
        <v>303</v>
      </c>
      <c r="D169" s="297" t="s">
        <v>304</v>
      </c>
      <c r="E169" s="298" t="s">
        <v>661</v>
      </c>
    </row>
    <row r="170" spans="1:5" ht="67.5" x14ac:dyDescent="0.3">
      <c r="A170" s="303">
        <v>10</v>
      </c>
      <c r="B170" s="303">
        <v>0.6</v>
      </c>
      <c r="C170" s="297" t="s">
        <v>571</v>
      </c>
      <c r="D170" s="297" t="s">
        <v>305</v>
      </c>
      <c r="E170" s="298" t="s">
        <v>661</v>
      </c>
    </row>
    <row r="171" spans="1:5" ht="34.9" customHeight="1" x14ac:dyDescent="0.3">
      <c r="A171" s="303">
        <v>11</v>
      </c>
      <c r="B171" s="303">
        <v>0.6</v>
      </c>
      <c r="C171" s="297" t="s">
        <v>572</v>
      </c>
      <c r="D171" s="297" t="s">
        <v>306</v>
      </c>
      <c r="E171" s="298" t="s">
        <v>661</v>
      </c>
    </row>
    <row r="172" spans="1:5" ht="67.5" x14ac:dyDescent="0.3">
      <c r="A172" s="303">
        <v>12</v>
      </c>
      <c r="B172" s="303">
        <v>0.6</v>
      </c>
      <c r="C172" s="297" t="s">
        <v>307</v>
      </c>
      <c r="D172" s="297" t="s">
        <v>308</v>
      </c>
      <c r="E172" s="298" t="s">
        <v>661</v>
      </c>
    </row>
    <row r="173" spans="1:5" ht="67.5" x14ac:dyDescent="0.3">
      <c r="A173" s="303">
        <v>13</v>
      </c>
      <c r="B173" s="303">
        <v>0.6</v>
      </c>
      <c r="C173" s="297" t="s">
        <v>309</v>
      </c>
      <c r="D173" s="297" t="s">
        <v>310</v>
      </c>
      <c r="E173" s="298" t="s">
        <v>661</v>
      </c>
    </row>
    <row r="174" spans="1:5" ht="90" x14ac:dyDescent="0.3">
      <c r="A174" s="303">
        <v>14</v>
      </c>
      <c r="B174" s="303">
        <v>0.6</v>
      </c>
      <c r="C174" s="297" t="s">
        <v>573</v>
      </c>
      <c r="D174" s="297" t="s">
        <v>311</v>
      </c>
      <c r="E174" s="298" t="s">
        <v>661</v>
      </c>
    </row>
    <row r="175" spans="1:5" ht="112.5" x14ac:dyDescent="0.3">
      <c r="A175" s="303">
        <v>15</v>
      </c>
      <c r="B175" s="303">
        <v>0.6</v>
      </c>
      <c r="C175" s="297" t="s">
        <v>574</v>
      </c>
      <c r="D175" s="297" t="s">
        <v>312</v>
      </c>
      <c r="E175" s="298" t="s">
        <v>661</v>
      </c>
    </row>
    <row r="176" spans="1:5" ht="67.5" x14ac:dyDescent="0.3">
      <c r="A176" s="303">
        <v>16</v>
      </c>
      <c r="B176" s="303">
        <v>0.6</v>
      </c>
      <c r="C176" s="297" t="s">
        <v>575</v>
      </c>
      <c r="D176" s="297" t="s">
        <v>313</v>
      </c>
      <c r="E176" s="298" t="s">
        <v>661</v>
      </c>
    </row>
    <row r="177" spans="1:5" ht="67.5" x14ac:dyDescent="0.3">
      <c r="A177" s="303">
        <v>17</v>
      </c>
      <c r="B177" s="303">
        <v>0.6</v>
      </c>
      <c r="C177" s="297" t="s">
        <v>576</v>
      </c>
      <c r="D177" s="297" t="s">
        <v>314</v>
      </c>
      <c r="E177" s="298" t="s">
        <v>661</v>
      </c>
    </row>
    <row r="178" spans="1:5" ht="34.9" customHeight="1" x14ac:dyDescent="0.3">
      <c r="A178" s="303">
        <v>18</v>
      </c>
      <c r="B178" s="303">
        <v>0.6</v>
      </c>
      <c r="C178" s="297" t="s">
        <v>577</v>
      </c>
      <c r="D178" s="297" t="s">
        <v>315</v>
      </c>
      <c r="E178" s="306" t="s">
        <v>659</v>
      </c>
    </row>
    <row r="179" spans="1:5" ht="90" x14ac:dyDescent="0.3">
      <c r="A179" s="303">
        <v>19</v>
      </c>
      <c r="B179" s="303">
        <v>0.6</v>
      </c>
      <c r="C179" s="297" t="s">
        <v>316</v>
      </c>
      <c r="D179" s="297" t="s">
        <v>317</v>
      </c>
      <c r="E179" s="298" t="s">
        <v>661</v>
      </c>
    </row>
    <row r="180" spans="1:5" ht="67.5" x14ac:dyDescent="0.3">
      <c r="A180" s="303">
        <v>20</v>
      </c>
      <c r="B180" s="303">
        <v>0.6</v>
      </c>
      <c r="C180" s="297" t="s">
        <v>318</v>
      </c>
      <c r="D180" s="297" t="s">
        <v>319</v>
      </c>
      <c r="E180" s="298" t="s">
        <v>661</v>
      </c>
    </row>
    <row r="181" spans="1:5" ht="90" x14ac:dyDescent="0.3">
      <c r="A181" s="303">
        <v>21</v>
      </c>
      <c r="B181" s="303">
        <v>0.6</v>
      </c>
      <c r="C181" s="297" t="s">
        <v>320</v>
      </c>
      <c r="D181" s="297" t="s">
        <v>321</v>
      </c>
      <c r="E181" s="298" t="s">
        <v>661</v>
      </c>
    </row>
    <row r="182" spans="1:5" ht="67.5" x14ac:dyDescent="0.3">
      <c r="A182" s="303">
        <v>22</v>
      </c>
      <c r="B182" s="303">
        <v>0.6</v>
      </c>
      <c r="C182" s="297" t="s">
        <v>578</v>
      </c>
      <c r="D182" s="297" t="s">
        <v>322</v>
      </c>
      <c r="E182" s="306" t="s">
        <v>659</v>
      </c>
    </row>
    <row r="183" spans="1:5" ht="67.5" x14ac:dyDescent="0.3">
      <c r="A183" s="303">
        <v>23</v>
      </c>
      <c r="B183" s="303">
        <v>0.6</v>
      </c>
      <c r="C183" s="297" t="s">
        <v>323</v>
      </c>
      <c r="D183" s="297" t="s">
        <v>819</v>
      </c>
      <c r="E183" s="298" t="s">
        <v>661</v>
      </c>
    </row>
    <row r="184" spans="1:5" ht="90" x14ac:dyDescent="0.3">
      <c r="A184" s="303">
        <v>24</v>
      </c>
      <c r="B184" s="303">
        <v>0.6</v>
      </c>
      <c r="C184" s="297" t="s">
        <v>324</v>
      </c>
      <c r="D184" s="297" t="s">
        <v>325</v>
      </c>
      <c r="E184" s="298" t="s">
        <v>661</v>
      </c>
    </row>
    <row r="185" spans="1:5" ht="90" x14ac:dyDescent="0.3">
      <c r="A185" s="303">
        <v>25</v>
      </c>
      <c r="B185" s="303">
        <v>0.6</v>
      </c>
      <c r="C185" s="297" t="s">
        <v>326</v>
      </c>
      <c r="D185" s="297" t="s">
        <v>327</v>
      </c>
      <c r="E185" s="298" t="s">
        <v>661</v>
      </c>
    </row>
    <row r="186" spans="1:5" ht="67.5" x14ac:dyDescent="0.3">
      <c r="A186" s="303">
        <v>26</v>
      </c>
      <c r="B186" s="303">
        <v>0.6</v>
      </c>
      <c r="C186" s="297" t="s">
        <v>579</v>
      </c>
      <c r="D186" s="297" t="s">
        <v>328</v>
      </c>
      <c r="E186" s="298" t="s">
        <v>661</v>
      </c>
    </row>
    <row r="187" spans="1:5" ht="22.5" x14ac:dyDescent="0.3">
      <c r="A187" s="532">
        <v>27</v>
      </c>
      <c r="B187" s="532">
        <v>0.6</v>
      </c>
      <c r="C187" s="308" t="s">
        <v>141</v>
      </c>
      <c r="D187" s="309"/>
      <c r="E187" s="310"/>
    </row>
    <row r="188" spans="1:5" ht="67.5" x14ac:dyDescent="0.3">
      <c r="A188" s="532"/>
      <c r="B188" s="532"/>
      <c r="C188" s="297" t="s">
        <v>175</v>
      </c>
      <c r="D188" s="297" t="s">
        <v>329</v>
      </c>
      <c r="E188" s="298" t="s">
        <v>672</v>
      </c>
    </row>
    <row r="189" spans="1:5" ht="67.5" x14ac:dyDescent="0.3">
      <c r="A189" s="303">
        <v>28</v>
      </c>
      <c r="B189" s="303">
        <v>0.6</v>
      </c>
      <c r="C189" s="297" t="s">
        <v>175</v>
      </c>
      <c r="D189" s="297" t="s">
        <v>330</v>
      </c>
      <c r="E189" s="298" t="s">
        <v>672</v>
      </c>
    </row>
    <row r="190" spans="1:5" ht="67.5" x14ac:dyDescent="0.3">
      <c r="A190" s="303">
        <v>29</v>
      </c>
      <c r="B190" s="303">
        <v>0.6</v>
      </c>
      <c r="C190" s="297" t="s">
        <v>175</v>
      </c>
      <c r="D190" s="297" t="s">
        <v>331</v>
      </c>
      <c r="E190" s="298" t="s">
        <v>672</v>
      </c>
    </row>
    <row r="191" spans="1:5" ht="67.5" x14ac:dyDescent="0.3">
      <c r="A191" s="303">
        <v>30</v>
      </c>
      <c r="B191" s="303">
        <v>0.6</v>
      </c>
      <c r="C191" s="297" t="s">
        <v>175</v>
      </c>
      <c r="D191" s="297" t="s">
        <v>332</v>
      </c>
      <c r="E191" s="298" t="s">
        <v>672</v>
      </c>
    </row>
    <row r="192" spans="1:5" ht="67.5" x14ac:dyDescent="0.3">
      <c r="A192" s="303">
        <v>31</v>
      </c>
      <c r="B192" s="303">
        <v>0.6</v>
      </c>
      <c r="C192" s="297" t="s">
        <v>175</v>
      </c>
      <c r="D192" s="297" t="s">
        <v>333</v>
      </c>
      <c r="E192" s="298" t="s">
        <v>672</v>
      </c>
    </row>
    <row r="193" spans="1:5" ht="67.5" x14ac:dyDescent="0.3">
      <c r="A193" s="303">
        <v>32</v>
      </c>
      <c r="B193" s="303">
        <v>0.6</v>
      </c>
      <c r="C193" s="297" t="s">
        <v>175</v>
      </c>
      <c r="D193" s="297" t="s">
        <v>580</v>
      </c>
      <c r="E193" s="298" t="s">
        <v>672</v>
      </c>
    </row>
    <row r="194" spans="1:5" ht="45" x14ac:dyDescent="0.3">
      <c r="A194" s="303">
        <v>33</v>
      </c>
      <c r="B194" s="303">
        <v>0.6</v>
      </c>
      <c r="C194" s="297" t="s">
        <v>175</v>
      </c>
      <c r="D194" s="297" t="s">
        <v>581</v>
      </c>
      <c r="E194" s="298" t="s">
        <v>672</v>
      </c>
    </row>
    <row r="195" spans="1:5" ht="67.5" x14ac:dyDescent="0.3">
      <c r="A195" s="303">
        <v>34</v>
      </c>
      <c r="B195" s="303">
        <v>0.6</v>
      </c>
      <c r="C195" s="297" t="s">
        <v>175</v>
      </c>
      <c r="D195" s="297" t="s">
        <v>582</v>
      </c>
      <c r="E195" s="298" t="s">
        <v>672</v>
      </c>
    </row>
    <row r="196" spans="1:5" ht="67.5" x14ac:dyDescent="0.3">
      <c r="A196" s="303">
        <v>35</v>
      </c>
      <c r="B196" s="303">
        <v>0.6</v>
      </c>
      <c r="C196" s="297" t="s">
        <v>175</v>
      </c>
      <c r="D196" s="297" t="s">
        <v>583</v>
      </c>
      <c r="E196" s="298" t="s">
        <v>672</v>
      </c>
    </row>
    <row r="197" spans="1:5" ht="22.5" x14ac:dyDescent="0.3">
      <c r="A197" s="532">
        <v>36</v>
      </c>
      <c r="B197" s="532">
        <v>0.6</v>
      </c>
      <c r="C197" s="537" t="s">
        <v>334</v>
      </c>
      <c r="D197" s="537" t="s">
        <v>335</v>
      </c>
      <c r="E197" s="298" t="s">
        <v>661</v>
      </c>
    </row>
    <row r="198" spans="1:5" ht="22.5" x14ac:dyDescent="0.3">
      <c r="A198" s="532"/>
      <c r="B198" s="532"/>
      <c r="C198" s="537"/>
      <c r="D198" s="537"/>
      <c r="E198" s="298" t="s">
        <v>661</v>
      </c>
    </row>
    <row r="199" spans="1:5" ht="90" x14ac:dyDescent="0.3">
      <c r="A199" s="303">
        <v>37</v>
      </c>
      <c r="B199" s="303">
        <v>0.6</v>
      </c>
      <c r="C199" s="297" t="s">
        <v>336</v>
      </c>
      <c r="D199" s="297" t="s">
        <v>584</v>
      </c>
      <c r="E199" s="298" t="s">
        <v>672</v>
      </c>
    </row>
    <row r="200" spans="1:5" ht="67.5" x14ac:dyDescent="0.3">
      <c r="A200" s="303">
        <v>38</v>
      </c>
      <c r="B200" s="303">
        <v>0.6</v>
      </c>
      <c r="C200" s="297" t="s">
        <v>337</v>
      </c>
      <c r="D200" s="297" t="s">
        <v>585</v>
      </c>
      <c r="E200" s="298" t="s">
        <v>672</v>
      </c>
    </row>
    <row r="201" spans="1:5" ht="45" x14ac:dyDescent="0.3">
      <c r="A201" s="303">
        <v>39</v>
      </c>
      <c r="B201" s="303">
        <v>0.6</v>
      </c>
      <c r="C201" s="311" t="s">
        <v>286</v>
      </c>
      <c r="D201" s="311" t="s">
        <v>338</v>
      </c>
      <c r="E201" s="298" t="s">
        <v>672</v>
      </c>
    </row>
    <row r="202" spans="1:5" ht="90" x14ac:dyDescent="0.3">
      <c r="A202" s="303">
        <v>40</v>
      </c>
      <c r="B202" s="303">
        <v>0.6</v>
      </c>
      <c r="C202" s="311" t="s">
        <v>286</v>
      </c>
      <c r="D202" s="311" t="s">
        <v>339</v>
      </c>
      <c r="E202" s="298" t="s">
        <v>672</v>
      </c>
    </row>
    <row r="203" spans="1:5" ht="45" x14ac:dyDescent="0.3">
      <c r="A203" s="303">
        <v>41</v>
      </c>
      <c r="B203" s="303">
        <v>0.6</v>
      </c>
      <c r="C203" s="297" t="s">
        <v>340</v>
      </c>
      <c r="D203" s="297" t="s">
        <v>341</v>
      </c>
      <c r="E203" s="298" t="s">
        <v>672</v>
      </c>
    </row>
    <row r="204" spans="1:5" ht="45" x14ac:dyDescent="0.3">
      <c r="A204" s="303">
        <v>42</v>
      </c>
      <c r="B204" s="303">
        <v>0.6</v>
      </c>
      <c r="C204" s="297" t="s">
        <v>340</v>
      </c>
      <c r="D204" s="297" t="s">
        <v>342</v>
      </c>
      <c r="E204" s="298" t="s">
        <v>672</v>
      </c>
    </row>
    <row r="205" spans="1:5" ht="90" x14ac:dyDescent="0.3">
      <c r="A205" s="303">
        <v>43</v>
      </c>
      <c r="B205" s="303">
        <v>0.6</v>
      </c>
      <c r="C205" s="297" t="s">
        <v>343</v>
      </c>
      <c r="D205" s="297" t="s">
        <v>344</v>
      </c>
      <c r="E205" s="298" t="s">
        <v>672</v>
      </c>
    </row>
    <row r="206" spans="1:5" ht="22.5" x14ac:dyDescent="0.3">
      <c r="A206" s="532">
        <v>44</v>
      </c>
      <c r="B206" s="532">
        <v>0.6</v>
      </c>
      <c r="C206" s="308" t="s">
        <v>139</v>
      </c>
      <c r="D206" s="309"/>
      <c r="E206" s="310"/>
    </row>
    <row r="207" spans="1:5" ht="45" x14ac:dyDescent="0.3">
      <c r="A207" s="532"/>
      <c r="B207" s="532"/>
      <c r="C207" s="297" t="s">
        <v>586</v>
      </c>
      <c r="D207" s="297" t="s">
        <v>345</v>
      </c>
      <c r="E207" s="298" t="s">
        <v>672</v>
      </c>
    </row>
    <row r="208" spans="1:5" ht="67.5" x14ac:dyDescent="0.3">
      <c r="A208" s="303">
        <v>45</v>
      </c>
      <c r="B208" s="303">
        <v>0.6</v>
      </c>
      <c r="C208" s="297" t="s">
        <v>346</v>
      </c>
      <c r="D208" s="297" t="s">
        <v>347</v>
      </c>
      <c r="E208" s="298" t="s">
        <v>672</v>
      </c>
    </row>
    <row r="209" spans="1:5" ht="67.5" x14ac:dyDescent="0.3">
      <c r="A209" s="303">
        <v>46</v>
      </c>
      <c r="B209" s="303">
        <v>0.6</v>
      </c>
      <c r="C209" s="297" t="s">
        <v>348</v>
      </c>
      <c r="D209" s="297" t="s">
        <v>349</v>
      </c>
      <c r="E209" s="298" t="s">
        <v>672</v>
      </c>
    </row>
    <row r="210" spans="1:5" ht="67.5" x14ac:dyDescent="0.3">
      <c r="A210" s="303">
        <v>47</v>
      </c>
      <c r="B210" s="303">
        <v>0.6</v>
      </c>
      <c r="C210" s="297" t="s">
        <v>160</v>
      </c>
      <c r="D210" s="297" t="s">
        <v>350</v>
      </c>
      <c r="E210" s="298" t="s">
        <v>672</v>
      </c>
    </row>
    <row r="211" spans="1:5" ht="45" x14ac:dyDescent="0.3">
      <c r="A211" s="303">
        <v>48</v>
      </c>
      <c r="B211" s="303">
        <v>0.6</v>
      </c>
      <c r="C211" s="297" t="s">
        <v>587</v>
      </c>
      <c r="D211" s="297" t="s">
        <v>351</v>
      </c>
      <c r="E211" s="298" t="s">
        <v>672</v>
      </c>
    </row>
    <row r="212" spans="1:5" ht="45" x14ac:dyDescent="0.3">
      <c r="A212" s="303">
        <v>49</v>
      </c>
      <c r="B212" s="303">
        <v>0.6</v>
      </c>
      <c r="C212" s="297" t="s">
        <v>477</v>
      </c>
      <c r="D212" s="297" t="s">
        <v>352</v>
      </c>
      <c r="E212" s="298" t="s">
        <v>672</v>
      </c>
    </row>
    <row r="213" spans="1:5" ht="67.5" x14ac:dyDescent="0.3">
      <c r="A213" s="303">
        <v>50</v>
      </c>
      <c r="B213" s="303">
        <v>0.6</v>
      </c>
      <c r="C213" s="297" t="s">
        <v>588</v>
      </c>
      <c r="D213" s="297" t="s">
        <v>353</v>
      </c>
      <c r="E213" s="298" t="s">
        <v>672</v>
      </c>
    </row>
    <row r="214" spans="1:5" ht="45" x14ac:dyDescent="0.3">
      <c r="A214" s="303">
        <v>51</v>
      </c>
      <c r="B214" s="303">
        <v>0.6</v>
      </c>
      <c r="C214" s="297" t="s">
        <v>589</v>
      </c>
      <c r="D214" s="297" t="s">
        <v>354</v>
      </c>
      <c r="E214" s="298" t="s">
        <v>672</v>
      </c>
    </row>
    <row r="215" spans="1:5" ht="67.5" x14ac:dyDescent="0.3">
      <c r="A215" s="303">
        <v>52</v>
      </c>
      <c r="B215" s="303">
        <v>0.6</v>
      </c>
      <c r="C215" s="297" t="s">
        <v>590</v>
      </c>
      <c r="D215" s="297" t="s">
        <v>355</v>
      </c>
      <c r="E215" s="298" t="s">
        <v>672</v>
      </c>
    </row>
    <row r="216" spans="1:5" ht="67.5" x14ac:dyDescent="0.3">
      <c r="A216" s="303">
        <v>53</v>
      </c>
      <c r="B216" s="303">
        <v>0.6</v>
      </c>
      <c r="C216" s="297" t="s">
        <v>591</v>
      </c>
      <c r="D216" s="297" t="s">
        <v>356</v>
      </c>
      <c r="E216" s="298" t="s">
        <v>672</v>
      </c>
    </row>
    <row r="217" spans="1:5" ht="67.5" x14ac:dyDescent="0.3">
      <c r="A217" s="303">
        <v>54</v>
      </c>
      <c r="B217" s="303">
        <v>0.6</v>
      </c>
      <c r="C217" s="297" t="s">
        <v>592</v>
      </c>
      <c r="D217" s="297" t="s">
        <v>357</v>
      </c>
      <c r="E217" s="298" t="s">
        <v>672</v>
      </c>
    </row>
    <row r="218" spans="1:5" ht="67.5" x14ac:dyDescent="0.3">
      <c r="A218" s="303">
        <v>55</v>
      </c>
      <c r="B218" s="303">
        <v>0.6</v>
      </c>
      <c r="C218" s="297" t="s">
        <v>593</v>
      </c>
      <c r="D218" s="297" t="s">
        <v>358</v>
      </c>
      <c r="E218" s="298" t="s">
        <v>672</v>
      </c>
    </row>
    <row r="219" spans="1:5" ht="67.5" x14ac:dyDescent="0.3">
      <c r="A219" s="303">
        <v>56</v>
      </c>
      <c r="B219" s="303">
        <v>0.6</v>
      </c>
      <c r="C219" s="297" t="s">
        <v>594</v>
      </c>
      <c r="D219" s="297" t="s">
        <v>359</v>
      </c>
      <c r="E219" s="298" t="s">
        <v>672</v>
      </c>
    </row>
    <row r="220" spans="1:5" ht="67.5" x14ac:dyDescent="0.3">
      <c r="A220" s="303">
        <v>57</v>
      </c>
      <c r="B220" s="303">
        <v>0.6</v>
      </c>
      <c r="C220" s="297" t="s">
        <v>595</v>
      </c>
      <c r="D220" s="297" t="s">
        <v>360</v>
      </c>
      <c r="E220" s="298" t="s">
        <v>672</v>
      </c>
    </row>
    <row r="221" spans="1:5" ht="67.5" x14ac:dyDescent="0.3">
      <c r="A221" s="303">
        <v>58</v>
      </c>
      <c r="B221" s="303">
        <v>0.6</v>
      </c>
      <c r="C221" s="297" t="s">
        <v>596</v>
      </c>
      <c r="D221" s="297" t="s">
        <v>361</v>
      </c>
      <c r="E221" s="298" t="s">
        <v>672</v>
      </c>
    </row>
    <row r="222" spans="1:5" ht="22.5" x14ac:dyDescent="0.3">
      <c r="A222" s="303">
        <v>59</v>
      </c>
      <c r="B222" s="303">
        <v>0.6</v>
      </c>
      <c r="C222" s="297" t="s">
        <v>362</v>
      </c>
      <c r="D222" s="297" t="s">
        <v>363</v>
      </c>
      <c r="E222" s="298" t="s">
        <v>672</v>
      </c>
    </row>
    <row r="223" spans="1:5" ht="67.5" x14ac:dyDescent="0.3">
      <c r="A223" s="303">
        <v>60</v>
      </c>
      <c r="B223" s="303">
        <v>0.6</v>
      </c>
      <c r="C223" s="297" t="s">
        <v>597</v>
      </c>
      <c r="D223" s="297" t="s">
        <v>364</v>
      </c>
      <c r="E223" s="298" t="s">
        <v>672</v>
      </c>
    </row>
    <row r="224" spans="1:5" ht="67.5" x14ac:dyDescent="0.3">
      <c r="A224" s="303">
        <v>61</v>
      </c>
      <c r="B224" s="303">
        <v>0.6</v>
      </c>
      <c r="C224" s="297" t="s">
        <v>598</v>
      </c>
      <c r="D224" s="297" t="s">
        <v>365</v>
      </c>
      <c r="E224" s="298" t="s">
        <v>672</v>
      </c>
    </row>
    <row r="225" spans="1:5" ht="67.5" x14ac:dyDescent="0.3">
      <c r="A225" s="303">
        <v>62</v>
      </c>
      <c r="B225" s="303">
        <v>0.6</v>
      </c>
      <c r="C225" s="297" t="s">
        <v>599</v>
      </c>
      <c r="D225" s="297" t="s">
        <v>366</v>
      </c>
      <c r="E225" s="298" t="s">
        <v>672</v>
      </c>
    </row>
    <row r="226" spans="1:5" ht="90" x14ac:dyDescent="0.3">
      <c r="A226" s="303">
        <v>63</v>
      </c>
      <c r="B226" s="303">
        <v>0.6</v>
      </c>
      <c r="C226" s="297" t="s">
        <v>600</v>
      </c>
      <c r="D226" s="297" t="s">
        <v>367</v>
      </c>
      <c r="E226" s="298" t="s">
        <v>672</v>
      </c>
    </row>
    <row r="227" spans="1:5" ht="22.5" x14ac:dyDescent="0.3">
      <c r="A227" s="532">
        <v>64</v>
      </c>
      <c r="B227" s="533">
        <v>0.6</v>
      </c>
      <c r="C227" s="308" t="s">
        <v>368</v>
      </c>
      <c r="D227" s="309"/>
      <c r="E227" s="298"/>
    </row>
    <row r="228" spans="1:5" ht="45" x14ac:dyDescent="0.3">
      <c r="A228" s="532"/>
      <c r="B228" s="533"/>
      <c r="C228" s="312" t="s">
        <v>369</v>
      </c>
      <c r="D228" s="312" t="s">
        <v>370</v>
      </c>
      <c r="E228" s="298" t="s">
        <v>672</v>
      </c>
    </row>
    <row r="229" spans="1:5" ht="45" x14ac:dyDescent="0.3">
      <c r="A229" s="303">
        <v>65</v>
      </c>
      <c r="B229" s="313">
        <v>0.6</v>
      </c>
      <c r="C229" s="312" t="s">
        <v>371</v>
      </c>
      <c r="D229" s="312" t="s">
        <v>601</v>
      </c>
      <c r="E229" s="298" t="s">
        <v>672</v>
      </c>
    </row>
    <row r="230" spans="1:5" ht="45" x14ac:dyDescent="0.3">
      <c r="A230" s="303">
        <v>66</v>
      </c>
      <c r="B230" s="313">
        <v>0.6</v>
      </c>
      <c r="C230" s="312" t="s">
        <v>372</v>
      </c>
      <c r="D230" s="312" t="s">
        <v>604</v>
      </c>
      <c r="E230" s="298" t="s">
        <v>672</v>
      </c>
    </row>
    <row r="231" spans="1:5" ht="67.5" x14ac:dyDescent="0.3">
      <c r="A231" s="303">
        <v>67</v>
      </c>
      <c r="B231" s="313">
        <v>0.6</v>
      </c>
      <c r="C231" s="312" t="s">
        <v>602</v>
      </c>
      <c r="D231" s="312" t="s">
        <v>603</v>
      </c>
      <c r="E231" s="298" t="s">
        <v>672</v>
      </c>
    </row>
    <row r="232" spans="1:5" ht="45" x14ac:dyDescent="0.3">
      <c r="A232" s="303">
        <v>68</v>
      </c>
      <c r="B232" s="313">
        <v>0.6</v>
      </c>
      <c r="C232" s="312" t="s">
        <v>373</v>
      </c>
      <c r="D232" s="312" t="s">
        <v>605</v>
      </c>
      <c r="E232" s="298" t="s">
        <v>672</v>
      </c>
    </row>
    <row r="233" spans="1:5" ht="22.5" x14ac:dyDescent="0.3">
      <c r="A233" s="532">
        <v>69</v>
      </c>
      <c r="B233" s="532">
        <v>0.6</v>
      </c>
      <c r="C233" s="308" t="s">
        <v>137</v>
      </c>
      <c r="D233" s="309"/>
      <c r="E233" s="310"/>
    </row>
    <row r="234" spans="1:5" ht="67.5" x14ac:dyDescent="0.3">
      <c r="A234" s="532"/>
      <c r="B234" s="532"/>
      <c r="C234" s="297" t="s">
        <v>374</v>
      </c>
      <c r="D234" s="297" t="s">
        <v>375</v>
      </c>
      <c r="E234" s="298" t="s">
        <v>661</v>
      </c>
    </row>
    <row r="235" spans="1:5" ht="67.5" x14ac:dyDescent="0.3">
      <c r="A235" s="303">
        <v>70</v>
      </c>
      <c r="B235" s="303">
        <v>0.6</v>
      </c>
      <c r="C235" s="297" t="s">
        <v>376</v>
      </c>
      <c r="D235" s="297" t="s">
        <v>377</v>
      </c>
      <c r="E235" s="298" t="s">
        <v>661</v>
      </c>
    </row>
    <row r="236" spans="1:5" ht="45" x14ac:dyDescent="0.3">
      <c r="A236" s="303">
        <v>71</v>
      </c>
      <c r="B236" s="303">
        <v>0.6</v>
      </c>
      <c r="C236" s="297" t="s">
        <v>378</v>
      </c>
      <c r="D236" s="297" t="s">
        <v>606</v>
      </c>
      <c r="E236" s="298" t="s">
        <v>661</v>
      </c>
    </row>
    <row r="237" spans="1:5" ht="22.5" x14ac:dyDescent="0.3">
      <c r="A237" s="532">
        <v>72</v>
      </c>
      <c r="B237" s="532">
        <v>0.6</v>
      </c>
      <c r="C237" s="308" t="s">
        <v>379</v>
      </c>
      <c r="D237" s="309"/>
      <c r="E237" s="298"/>
    </row>
    <row r="238" spans="1:5" ht="180" x14ac:dyDescent="0.3">
      <c r="A238" s="532"/>
      <c r="B238" s="532"/>
      <c r="C238" s="297" t="s">
        <v>607</v>
      </c>
      <c r="D238" s="297" t="s">
        <v>380</v>
      </c>
      <c r="E238" s="298" t="s">
        <v>672</v>
      </c>
    </row>
    <row r="239" spans="1:5" ht="22.5" x14ac:dyDescent="0.3">
      <c r="A239" s="303"/>
      <c r="B239" s="314">
        <f>SUM(B157:B238)</f>
        <v>43.20000000000006</v>
      </c>
      <c r="C239" s="297"/>
      <c r="D239" s="297"/>
      <c r="E239" s="298"/>
    </row>
    <row r="240" spans="1:5" ht="71.45" customHeight="1" x14ac:dyDescent="0.3">
      <c r="A240" s="535" t="s">
        <v>381</v>
      </c>
      <c r="B240" s="535"/>
      <c r="C240" s="535"/>
      <c r="D240" s="535"/>
      <c r="E240" s="298"/>
    </row>
    <row r="241" spans="1:5" ht="22.5" x14ac:dyDescent="0.3">
      <c r="A241" s="532">
        <v>1</v>
      </c>
      <c r="B241" s="532">
        <v>0.8</v>
      </c>
      <c r="C241" s="296" t="s">
        <v>133</v>
      </c>
      <c r="D241" s="297"/>
      <c r="E241" s="298"/>
    </row>
    <row r="242" spans="1:5" ht="90" x14ac:dyDescent="0.3">
      <c r="A242" s="532"/>
      <c r="B242" s="532"/>
      <c r="C242" s="297" t="s">
        <v>382</v>
      </c>
      <c r="D242" s="297" t="s">
        <v>383</v>
      </c>
      <c r="E242" s="298" t="s">
        <v>661</v>
      </c>
    </row>
    <row r="243" spans="1:5" ht="67.5" x14ac:dyDescent="0.3">
      <c r="A243" s="303">
        <v>2</v>
      </c>
      <c r="B243" s="303">
        <v>0.8</v>
      </c>
      <c r="C243" s="297" t="s">
        <v>382</v>
      </c>
      <c r="D243" s="297" t="s">
        <v>384</v>
      </c>
      <c r="E243" s="298" t="s">
        <v>661</v>
      </c>
    </row>
    <row r="244" spans="1:5" ht="67.5" x14ac:dyDescent="0.3">
      <c r="A244" s="303">
        <v>3</v>
      </c>
      <c r="B244" s="303">
        <v>0.8</v>
      </c>
      <c r="C244" s="297" t="s">
        <v>382</v>
      </c>
      <c r="D244" s="297" t="s">
        <v>820</v>
      </c>
      <c r="E244" s="298" t="s">
        <v>661</v>
      </c>
    </row>
    <row r="245" spans="1:5" ht="90" x14ac:dyDescent="0.3">
      <c r="A245" s="303">
        <v>4</v>
      </c>
      <c r="B245" s="303">
        <v>0.8</v>
      </c>
      <c r="C245" s="297" t="s">
        <v>382</v>
      </c>
      <c r="D245" s="297" t="s">
        <v>821</v>
      </c>
      <c r="E245" s="298" t="s">
        <v>661</v>
      </c>
    </row>
    <row r="246" spans="1:5" ht="90" x14ac:dyDescent="0.3">
      <c r="A246" s="303">
        <v>5</v>
      </c>
      <c r="B246" s="303">
        <v>0.8</v>
      </c>
      <c r="C246" s="297" t="s">
        <v>608</v>
      </c>
      <c r="D246" s="297" t="s">
        <v>385</v>
      </c>
      <c r="E246" s="298" t="s">
        <v>659</v>
      </c>
    </row>
    <row r="247" spans="1:5" ht="90" x14ac:dyDescent="0.3">
      <c r="A247" s="303">
        <v>6</v>
      </c>
      <c r="B247" s="303">
        <v>0.8</v>
      </c>
      <c r="C247" s="297" t="s">
        <v>609</v>
      </c>
      <c r="D247" s="297" t="s">
        <v>610</v>
      </c>
      <c r="E247" s="298" t="s">
        <v>659</v>
      </c>
    </row>
    <row r="248" spans="1:5" ht="90" x14ac:dyDescent="0.3">
      <c r="A248" s="303">
        <v>7</v>
      </c>
      <c r="B248" s="303">
        <v>0.8</v>
      </c>
      <c r="C248" s="297" t="s">
        <v>609</v>
      </c>
      <c r="D248" s="297" t="s">
        <v>386</v>
      </c>
      <c r="E248" s="298" t="s">
        <v>659</v>
      </c>
    </row>
    <row r="249" spans="1:5" ht="22.5" x14ac:dyDescent="0.3">
      <c r="A249" s="303"/>
      <c r="B249" s="303"/>
      <c r="C249" s="308" t="s">
        <v>387</v>
      </c>
      <c r="D249" s="309"/>
      <c r="E249" s="298"/>
    </row>
    <row r="250" spans="1:5" ht="67.5" x14ac:dyDescent="0.3">
      <c r="A250" s="315">
        <v>8</v>
      </c>
      <c r="B250" s="303">
        <v>0.8</v>
      </c>
      <c r="C250" s="297" t="s">
        <v>388</v>
      </c>
      <c r="D250" s="297" t="s">
        <v>389</v>
      </c>
      <c r="E250" s="298" t="s">
        <v>672</v>
      </c>
    </row>
    <row r="251" spans="1:5" ht="67.5" x14ac:dyDescent="0.3">
      <c r="A251" s="303">
        <v>9</v>
      </c>
      <c r="B251" s="303">
        <v>0.8</v>
      </c>
      <c r="C251" s="297" t="s">
        <v>388</v>
      </c>
      <c r="D251" s="297" t="s">
        <v>611</v>
      </c>
      <c r="E251" s="298" t="s">
        <v>672</v>
      </c>
    </row>
    <row r="252" spans="1:5" x14ac:dyDescent="0.3">
      <c r="A252" s="532">
        <v>10</v>
      </c>
      <c r="B252" s="532">
        <v>0.8</v>
      </c>
      <c r="C252" s="537" t="s">
        <v>388</v>
      </c>
      <c r="D252" s="537" t="s">
        <v>390</v>
      </c>
      <c r="E252" s="544" t="s">
        <v>672</v>
      </c>
    </row>
    <row r="253" spans="1:5" x14ac:dyDescent="0.3">
      <c r="A253" s="532"/>
      <c r="B253" s="532"/>
      <c r="C253" s="537"/>
      <c r="D253" s="537"/>
      <c r="E253" s="545"/>
    </row>
    <row r="254" spans="1:5" x14ac:dyDescent="0.3">
      <c r="A254" s="532"/>
      <c r="B254" s="532"/>
      <c r="C254" s="537"/>
      <c r="D254" s="537"/>
      <c r="E254" s="546"/>
    </row>
    <row r="255" spans="1:5" ht="67.5" x14ac:dyDescent="0.3">
      <c r="A255" s="303">
        <v>11</v>
      </c>
      <c r="B255" s="303">
        <v>0.8</v>
      </c>
      <c r="C255" s="297" t="s">
        <v>388</v>
      </c>
      <c r="D255" s="297" t="s">
        <v>612</v>
      </c>
      <c r="E255" s="298" t="s">
        <v>672</v>
      </c>
    </row>
    <row r="256" spans="1:5" ht="67.5" x14ac:dyDescent="0.3">
      <c r="A256" s="303">
        <v>12</v>
      </c>
      <c r="B256" s="303">
        <v>0.8</v>
      </c>
      <c r="C256" s="297" t="s">
        <v>391</v>
      </c>
      <c r="D256" s="297" t="s">
        <v>392</v>
      </c>
      <c r="E256" s="298" t="s">
        <v>672</v>
      </c>
    </row>
    <row r="257" spans="1:5" ht="67.5" x14ac:dyDescent="0.3">
      <c r="A257" s="303">
        <v>13</v>
      </c>
      <c r="B257" s="303">
        <v>0.8</v>
      </c>
      <c r="C257" s="297" t="s">
        <v>391</v>
      </c>
      <c r="D257" s="297" t="s">
        <v>393</v>
      </c>
      <c r="E257" s="298" t="s">
        <v>672</v>
      </c>
    </row>
    <row r="258" spans="1:5" ht="45" x14ac:dyDescent="0.3">
      <c r="A258" s="532">
        <v>14</v>
      </c>
      <c r="B258" s="532">
        <v>0.8</v>
      </c>
      <c r="C258" s="537" t="s">
        <v>391</v>
      </c>
      <c r="D258" s="297" t="s">
        <v>394</v>
      </c>
      <c r="E258" s="298" t="s">
        <v>672</v>
      </c>
    </row>
    <row r="259" spans="1:5" ht="22.5" x14ac:dyDescent="0.3">
      <c r="A259" s="532"/>
      <c r="B259" s="532"/>
      <c r="C259" s="537"/>
      <c r="D259" s="297" t="s">
        <v>395</v>
      </c>
      <c r="E259" s="298" t="s">
        <v>672</v>
      </c>
    </row>
    <row r="260" spans="1:5" ht="90" x14ac:dyDescent="0.3">
      <c r="A260" s="303">
        <v>15</v>
      </c>
      <c r="B260" s="303">
        <v>0.8</v>
      </c>
      <c r="C260" s="297" t="s">
        <v>391</v>
      </c>
      <c r="D260" s="297" t="s">
        <v>396</v>
      </c>
      <c r="E260" s="298" t="s">
        <v>672</v>
      </c>
    </row>
    <row r="261" spans="1:5" ht="67.5" x14ac:dyDescent="0.3">
      <c r="A261" s="316">
        <v>16</v>
      </c>
      <c r="B261" s="316">
        <v>0.8</v>
      </c>
      <c r="C261" s="311" t="s">
        <v>397</v>
      </c>
      <c r="D261" s="311" t="s">
        <v>398</v>
      </c>
      <c r="E261" s="298" t="s">
        <v>661</v>
      </c>
    </row>
    <row r="262" spans="1:5" ht="67.5" x14ac:dyDescent="0.3">
      <c r="A262" s="303">
        <v>17</v>
      </c>
      <c r="B262" s="316">
        <v>0.8</v>
      </c>
      <c r="C262" s="311" t="s">
        <v>397</v>
      </c>
      <c r="D262" s="311" t="s">
        <v>399</v>
      </c>
      <c r="E262" s="298" t="s">
        <v>661</v>
      </c>
    </row>
    <row r="263" spans="1:5" ht="67.5" x14ac:dyDescent="0.3">
      <c r="A263" s="303">
        <v>18</v>
      </c>
      <c r="B263" s="303">
        <v>0.8</v>
      </c>
      <c r="C263" s="297" t="s">
        <v>336</v>
      </c>
      <c r="D263" s="297" t="s">
        <v>400</v>
      </c>
      <c r="E263" s="298" t="s">
        <v>672</v>
      </c>
    </row>
    <row r="264" spans="1:5" ht="22.5" x14ac:dyDescent="0.3">
      <c r="A264" s="531">
        <v>19</v>
      </c>
      <c r="B264" s="532">
        <v>0.8</v>
      </c>
      <c r="C264" s="308" t="s">
        <v>140</v>
      </c>
      <c r="D264" s="309"/>
      <c r="E264" s="298"/>
    </row>
    <row r="265" spans="1:5" ht="67.5" x14ac:dyDescent="0.3">
      <c r="A265" s="531"/>
      <c r="B265" s="532"/>
      <c r="C265" s="297" t="s">
        <v>401</v>
      </c>
      <c r="D265" s="297" t="s">
        <v>402</v>
      </c>
      <c r="E265" s="298" t="s">
        <v>672</v>
      </c>
    </row>
    <row r="266" spans="1:5" ht="67.5" x14ac:dyDescent="0.3">
      <c r="A266" s="303">
        <v>20</v>
      </c>
      <c r="B266" s="303">
        <v>0.8</v>
      </c>
      <c r="C266" s="297" t="s">
        <v>401</v>
      </c>
      <c r="D266" s="297" t="s">
        <v>615</v>
      </c>
      <c r="E266" s="298" t="s">
        <v>672</v>
      </c>
    </row>
    <row r="267" spans="1:5" ht="90" x14ac:dyDescent="0.3">
      <c r="A267" s="303">
        <v>21</v>
      </c>
      <c r="B267" s="303">
        <v>0.8</v>
      </c>
      <c r="C267" s="297" t="s">
        <v>181</v>
      </c>
      <c r="D267" s="297" t="s">
        <v>616</v>
      </c>
      <c r="E267" s="298" t="s">
        <v>672</v>
      </c>
    </row>
    <row r="268" spans="1:5" ht="22.5" x14ac:dyDescent="0.3">
      <c r="A268" s="532">
        <v>22</v>
      </c>
      <c r="B268" s="303"/>
      <c r="C268" s="308" t="s">
        <v>139</v>
      </c>
      <c r="D268" s="309"/>
      <c r="E268" s="298"/>
    </row>
    <row r="269" spans="1:5" ht="67.5" x14ac:dyDescent="0.3">
      <c r="A269" s="532"/>
      <c r="B269" s="303">
        <v>0.8</v>
      </c>
      <c r="C269" s="297" t="s">
        <v>617</v>
      </c>
      <c r="D269" s="297" t="s">
        <v>403</v>
      </c>
      <c r="E269" s="298" t="s">
        <v>672</v>
      </c>
    </row>
    <row r="270" spans="1:5" ht="45" x14ac:dyDescent="0.3">
      <c r="A270" s="303">
        <v>23</v>
      </c>
      <c r="B270" s="303">
        <v>0.8</v>
      </c>
      <c r="C270" s="297" t="s">
        <v>618</v>
      </c>
      <c r="D270" s="297" t="s">
        <v>345</v>
      </c>
      <c r="E270" s="298" t="s">
        <v>672</v>
      </c>
    </row>
    <row r="271" spans="1:5" ht="67.5" x14ac:dyDescent="0.3">
      <c r="A271" s="303">
        <v>24</v>
      </c>
      <c r="B271" s="303">
        <v>0.8</v>
      </c>
      <c r="C271" s="297" t="s">
        <v>619</v>
      </c>
      <c r="D271" s="297" t="s">
        <v>404</v>
      </c>
      <c r="E271" s="298" t="s">
        <v>672</v>
      </c>
    </row>
    <row r="272" spans="1:5" ht="67.5" x14ac:dyDescent="0.3">
      <c r="A272" s="303">
        <v>25</v>
      </c>
      <c r="B272" s="303">
        <v>0.8</v>
      </c>
      <c r="C272" s="297" t="s">
        <v>620</v>
      </c>
      <c r="D272" s="297" t="s">
        <v>405</v>
      </c>
      <c r="E272" s="298" t="s">
        <v>672</v>
      </c>
    </row>
    <row r="273" spans="1:5" ht="67.5" x14ac:dyDescent="0.3">
      <c r="A273" s="303">
        <v>26</v>
      </c>
      <c r="B273" s="303">
        <v>0.8</v>
      </c>
      <c r="C273" s="297" t="s">
        <v>621</v>
      </c>
      <c r="D273" s="297" t="s">
        <v>406</v>
      </c>
      <c r="E273" s="298" t="s">
        <v>672</v>
      </c>
    </row>
    <row r="274" spans="1:5" ht="67.5" x14ac:dyDescent="0.3">
      <c r="A274" s="303">
        <v>27</v>
      </c>
      <c r="B274" s="303">
        <v>0.8</v>
      </c>
      <c r="C274" s="297" t="s">
        <v>622</v>
      </c>
      <c r="D274" s="297" t="s">
        <v>407</v>
      </c>
      <c r="E274" s="298" t="s">
        <v>672</v>
      </c>
    </row>
    <row r="275" spans="1:5" ht="67.5" x14ac:dyDescent="0.3">
      <c r="A275" s="303">
        <v>28</v>
      </c>
      <c r="B275" s="303">
        <v>0.8</v>
      </c>
      <c r="C275" s="297" t="s">
        <v>623</v>
      </c>
      <c r="D275" s="297" t="s">
        <v>408</v>
      </c>
      <c r="E275" s="298" t="s">
        <v>672</v>
      </c>
    </row>
    <row r="276" spans="1:5" ht="22.5" x14ac:dyDescent="0.3">
      <c r="A276" s="532">
        <v>29</v>
      </c>
      <c r="B276" s="533">
        <v>0.8</v>
      </c>
      <c r="C276" s="308" t="s">
        <v>138</v>
      </c>
      <c r="D276" s="309"/>
      <c r="E276" s="298"/>
    </row>
    <row r="277" spans="1:5" ht="67.5" x14ac:dyDescent="0.3">
      <c r="A277" s="532"/>
      <c r="B277" s="533"/>
      <c r="C277" s="312" t="s">
        <v>602</v>
      </c>
      <c r="D277" s="312" t="s">
        <v>409</v>
      </c>
      <c r="E277" s="298" t="s">
        <v>672</v>
      </c>
    </row>
    <row r="278" spans="1:5" ht="64.900000000000006" customHeight="1" x14ac:dyDescent="0.3">
      <c r="A278" s="535" t="s">
        <v>410</v>
      </c>
      <c r="B278" s="535"/>
      <c r="C278" s="535"/>
      <c r="D278" s="535"/>
      <c r="E278" s="298"/>
    </row>
    <row r="279" spans="1:5" ht="22.5" x14ac:dyDescent="0.3">
      <c r="A279" s="532">
        <v>1</v>
      </c>
      <c r="B279" s="303"/>
      <c r="C279" s="296" t="s">
        <v>136</v>
      </c>
      <c r="D279" s="297"/>
      <c r="E279" s="298"/>
    </row>
    <row r="280" spans="1:5" ht="67.5" x14ac:dyDescent="0.3">
      <c r="A280" s="532"/>
      <c r="B280" s="317">
        <v>1</v>
      </c>
      <c r="C280" s="297" t="s">
        <v>411</v>
      </c>
      <c r="D280" s="297" t="s">
        <v>624</v>
      </c>
      <c r="E280" s="298" t="s">
        <v>661</v>
      </c>
    </row>
    <row r="281" spans="1:5" ht="67.5" x14ac:dyDescent="0.3">
      <c r="A281" s="303">
        <v>2</v>
      </c>
      <c r="B281" s="317">
        <v>1</v>
      </c>
      <c r="C281" s="297" t="s">
        <v>411</v>
      </c>
      <c r="D281" s="297" t="s">
        <v>412</v>
      </c>
      <c r="E281" s="298" t="s">
        <v>661</v>
      </c>
    </row>
    <row r="282" spans="1:5" ht="67.5" x14ac:dyDescent="0.3">
      <c r="A282" s="303">
        <v>3</v>
      </c>
      <c r="B282" s="317">
        <v>1</v>
      </c>
      <c r="C282" s="297" t="s">
        <v>411</v>
      </c>
      <c r="D282" s="297" t="s">
        <v>413</v>
      </c>
      <c r="E282" s="298" t="s">
        <v>661</v>
      </c>
    </row>
    <row r="283" spans="1:5" ht="90" x14ac:dyDescent="0.3">
      <c r="A283" s="303">
        <v>4</v>
      </c>
      <c r="B283" s="317">
        <v>1</v>
      </c>
      <c r="C283" s="297" t="s">
        <v>411</v>
      </c>
      <c r="D283" s="297" t="s">
        <v>414</v>
      </c>
      <c r="E283" s="298" t="s">
        <v>661</v>
      </c>
    </row>
    <row r="284" spans="1:5" ht="90" x14ac:dyDescent="0.3">
      <c r="A284" s="303">
        <v>5</v>
      </c>
      <c r="B284" s="317">
        <v>1</v>
      </c>
      <c r="C284" s="297" t="s">
        <v>626</v>
      </c>
      <c r="D284" s="297" t="s">
        <v>625</v>
      </c>
      <c r="E284" s="298" t="s">
        <v>661</v>
      </c>
    </row>
    <row r="285" spans="1:5" ht="22.5" x14ac:dyDescent="0.3">
      <c r="A285" s="532">
        <v>6</v>
      </c>
      <c r="B285" s="536">
        <v>1</v>
      </c>
      <c r="C285" s="296" t="s">
        <v>133</v>
      </c>
      <c r="D285" s="297"/>
      <c r="E285" s="298"/>
    </row>
    <row r="286" spans="1:5" ht="45" x14ac:dyDescent="0.3">
      <c r="A286" s="532"/>
      <c r="B286" s="536"/>
      <c r="C286" s="297" t="s">
        <v>627</v>
      </c>
      <c r="D286" s="297" t="s">
        <v>415</v>
      </c>
      <c r="E286" s="298" t="s">
        <v>661</v>
      </c>
    </row>
    <row r="287" spans="1:5" ht="67.5" x14ac:dyDescent="0.3">
      <c r="A287" s="303">
        <v>7</v>
      </c>
      <c r="B287" s="317">
        <v>1</v>
      </c>
      <c r="C287" s="297" t="s">
        <v>627</v>
      </c>
      <c r="D287" s="297" t="s">
        <v>613</v>
      </c>
      <c r="E287" s="298" t="s">
        <v>661</v>
      </c>
    </row>
    <row r="288" spans="1:5" ht="90" x14ac:dyDescent="0.3">
      <c r="A288" s="303">
        <v>8</v>
      </c>
      <c r="B288" s="317">
        <v>1</v>
      </c>
      <c r="C288" s="297" t="s">
        <v>628</v>
      </c>
      <c r="D288" s="297" t="s">
        <v>416</v>
      </c>
      <c r="E288" s="298" t="s">
        <v>661</v>
      </c>
    </row>
    <row r="289" spans="1:5" ht="90" x14ac:dyDescent="0.3">
      <c r="A289" s="303">
        <v>9</v>
      </c>
      <c r="B289" s="317">
        <v>1</v>
      </c>
      <c r="C289" s="297" t="s">
        <v>628</v>
      </c>
      <c r="D289" s="297" t="s">
        <v>417</v>
      </c>
      <c r="E289" s="298" t="s">
        <v>661</v>
      </c>
    </row>
    <row r="290" spans="1:5" ht="22.5" x14ac:dyDescent="0.3">
      <c r="A290" s="532">
        <v>10</v>
      </c>
      <c r="B290" s="536">
        <v>1</v>
      </c>
      <c r="C290" s="296" t="s">
        <v>137</v>
      </c>
      <c r="D290" s="297"/>
      <c r="E290" s="298"/>
    </row>
    <row r="291" spans="1:5" ht="90" x14ac:dyDescent="0.3">
      <c r="A291" s="532"/>
      <c r="B291" s="536"/>
      <c r="C291" s="297" t="s">
        <v>629</v>
      </c>
      <c r="D291" s="297" t="s">
        <v>418</v>
      </c>
      <c r="E291" s="298" t="s">
        <v>661</v>
      </c>
    </row>
    <row r="292" spans="1:5" ht="22.5" x14ac:dyDescent="0.3">
      <c r="A292" s="532">
        <v>11</v>
      </c>
      <c r="B292" s="536">
        <v>1</v>
      </c>
      <c r="C292" s="296" t="s">
        <v>139</v>
      </c>
      <c r="D292" s="297"/>
      <c r="E292" s="298"/>
    </row>
    <row r="293" spans="1:5" ht="67.5" x14ac:dyDescent="0.3">
      <c r="A293" s="532"/>
      <c r="B293" s="536"/>
      <c r="C293" s="297" t="s">
        <v>631</v>
      </c>
      <c r="D293" s="297" t="s">
        <v>630</v>
      </c>
      <c r="E293" s="298" t="s">
        <v>672</v>
      </c>
    </row>
    <row r="294" spans="1:5" ht="112.5" x14ac:dyDescent="0.3">
      <c r="A294" s="303">
        <v>12</v>
      </c>
      <c r="B294" s="317">
        <v>1</v>
      </c>
      <c r="C294" s="297" t="s">
        <v>632</v>
      </c>
      <c r="D294" s="297" t="s">
        <v>419</v>
      </c>
      <c r="E294" s="298" t="s">
        <v>672</v>
      </c>
    </row>
    <row r="295" spans="1:5" ht="112.5" x14ac:dyDescent="0.3">
      <c r="A295" s="303">
        <v>13</v>
      </c>
      <c r="B295" s="317">
        <v>1</v>
      </c>
      <c r="C295" s="297" t="s">
        <v>632</v>
      </c>
      <c r="D295" s="297" t="s">
        <v>633</v>
      </c>
      <c r="E295" s="298" t="s">
        <v>672</v>
      </c>
    </row>
    <row r="296" spans="1:5" ht="90" x14ac:dyDescent="0.3">
      <c r="A296" s="303">
        <v>14</v>
      </c>
      <c r="B296" s="317">
        <v>1</v>
      </c>
      <c r="C296" s="297" t="s">
        <v>632</v>
      </c>
      <c r="D296" s="297" t="s">
        <v>420</v>
      </c>
      <c r="E296" s="298" t="s">
        <v>672</v>
      </c>
    </row>
    <row r="297" spans="1:5" ht="22.5" x14ac:dyDescent="0.3">
      <c r="A297" s="303"/>
      <c r="B297" s="317">
        <f>SUM(B280:B296)</f>
        <v>14</v>
      </c>
      <c r="C297" s="297"/>
      <c r="D297" s="297"/>
      <c r="E297" s="298"/>
    </row>
    <row r="298" spans="1:5" ht="22.5" x14ac:dyDescent="0.3">
      <c r="A298" s="535" t="s">
        <v>421</v>
      </c>
      <c r="B298" s="535"/>
      <c r="C298" s="535"/>
      <c r="D298" s="535"/>
      <c r="E298" s="298"/>
    </row>
    <row r="299" spans="1:5" ht="22.5" x14ac:dyDescent="0.3">
      <c r="A299" s="532">
        <v>15</v>
      </c>
      <c r="B299" s="318"/>
      <c r="C299" s="308" t="s">
        <v>140</v>
      </c>
      <c r="D299" s="319"/>
      <c r="E299" s="298"/>
    </row>
    <row r="300" spans="1:5" ht="135" x14ac:dyDescent="0.3">
      <c r="A300" s="532"/>
      <c r="B300" s="317">
        <v>1</v>
      </c>
      <c r="C300" s="297" t="s">
        <v>401</v>
      </c>
      <c r="D300" s="304" t="s">
        <v>634</v>
      </c>
      <c r="E300" s="298" t="s">
        <v>672</v>
      </c>
    </row>
    <row r="301" spans="1:5" ht="22.5" x14ac:dyDescent="0.3">
      <c r="A301" s="532">
        <v>16</v>
      </c>
      <c r="B301" s="536">
        <v>1</v>
      </c>
      <c r="C301" s="308" t="s">
        <v>422</v>
      </c>
      <c r="D301" s="309"/>
      <c r="E301" s="298"/>
    </row>
    <row r="302" spans="1:5" ht="22.5" x14ac:dyDescent="0.3">
      <c r="A302" s="532"/>
      <c r="B302" s="536"/>
      <c r="C302" s="297" t="s">
        <v>261</v>
      </c>
      <c r="D302" s="297" t="s">
        <v>423</v>
      </c>
      <c r="E302" s="320" t="s">
        <v>661</v>
      </c>
    </row>
    <row r="303" spans="1:5" ht="22.5" x14ac:dyDescent="0.3">
      <c r="A303" s="532">
        <v>17</v>
      </c>
      <c r="B303" s="534">
        <v>1</v>
      </c>
      <c r="C303" s="308" t="s">
        <v>138</v>
      </c>
      <c r="D303" s="309"/>
      <c r="E303" s="298"/>
    </row>
    <row r="304" spans="1:5" ht="45" x14ac:dyDescent="0.3">
      <c r="A304" s="532"/>
      <c r="B304" s="534"/>
      <c r="C304" s="312" t="s">
        <v>635</v>
      </c>
      <c r="D304" s="312" t="s">
        <v>424</v>
      </c>
      <c r="E304" s="298" t="s">
        <v>672</v>
      </c>
    </row>
    <row r="305" spans="1:5" ht="67.5" x14ac:dyDescent="0.3">
      <c r="A305" s="303">
        <v>18</v>
      </c>
      <c r="B305" s="321">
        <v>1</v>
      </c>
      <c r="C305" s="312" t="s">
        <v>425</v>
      </c>
      <c r="D305" s="312" t="s">
        <v>426</v>
      </c>
      <c r="E305" s="298" t="s">
        <v>672</v>
      </c>
    </row>
    <row r="306" spans="1:5" ht="67.5" x14ac:dyDescent="0.3">
      <c r="A306" s="303">
        <v>19</v>
      </c>
      <c r="B306" s="321">
        <v>1</v>
      </c>
      <c r="C306" s="312" t="s">
        <v>425</v>
      </c>
      <c r="D306" s="312" t="s">
        <v>636</v>
      </c>
      <c r="E306" s="298" t="s">
        <v>672</v>
      </c>
    </row>
    <row r="307" spans="1:5" ht="22.5" x14ac:dyDescent="0.3">
      <c r="A307" s="303">
        <v>20</v>
      </c>
      <c r="B307" s="321">
        <v>1</v>
      </c>
      <c r="C307" s="312" t="s">
        <v>425</v>
      </c>
      <c r="D307" s="312" t="s">
        <v>637</v>
      </c>
      <c r="E307" s="298" t="s">
        <v>672</v>
      </c>
    </row>
    <row r="308" spans="1:5" ht="22.5" x14ac:dyDescent="0.3">
      <c r="A308" s="303"/>
      <c r="B308" s="317">
        <f>SUM(B299:B307)</f>
        <v>6</v>
      </c>
      <c r="C308" s="297"/>
      <c r="D308" s="297"/>
      <c r="E308" s="298"/>
    </row>
    <row r="309" spans="1:5" ht="22.5" x14ac:dyDescent="0.3">
      <c r="A309" s="530" t="s">
        <v>427</v>
      </c>
      <c r="B309" s="530"/>
      <c r="C309" s="530"/>
      <c r="D309" s="530"/>
      <c r="E309" s="298"/>
    </row>
    <row r="310" spans="1:5" ht="22.5" x14ac:dyDescent="0.3">
      <c r="A310" s="530" t="s">
        <v>428</v>
      </c>
      <c r="B310" s="530"/>
      <c r="C310" s="530"/>
      <c r="D310" s="530"/>
      <c r="E310" s="298"/>
    </row>
    <row r="311" spans="1:5" ht="22.5" x14ac:dyDescent="0.3">
      <c r="A311" s="530" t="s">
        <v>429</v>
      </c>
      <c r="B311" s="530"/>
      <c r="C311" s="530"/>
      <c r="D311" s="530"/>
      <c r="E311" s="298"/>
    </row>
    <row r="312" spans="1:5" ht="22.5" x14ac:dyDescent="0.3">
      <c r="A312" s="303"/>
      <c r="B312" s="303"/>
      <c r="C312" s="308" t="s">
        <v>136</v>
      </c>
      <c r="D312" s="309"/>
      <c r="E312" s="298"/>
    </row>
    <row r="313" spans="1:5" ht="22.5" x14ac:dyDescent="0.3">
      <c r="A313" s="303">
        <v>1</v>
      </c>
      <c r="B313" s="303">
        <v>0.4</v>
      </c>
      <c r="C313" s="297" t="s">
        <v>290</v>
      </c>
      <c r="D313" s="297" t="s">
        <v>430</v>
      </c>
      <c r="E313" s="298" t="s">
        <v>661</v>
      </c>
    </row>
    <row r="314" spans="1:5" ht="22.5" x14ac:dyDescent="0.3">
      <c r="A314" s="303">
        <v>2</v>
      </c>
      <c r="B314" s="303">
        <v>0.4</v>
      </c>
      <c r="C314" s="297" t="s">
        <v>290</v>
      </c>
      <c r="D314" s="297" t="s">
        <v>431</v>
      </c>
      <c r="E314" s="298" t="s">
        <v>661</v>
      </c>
    </row>
    <row r="315" spans="1:5" ht="22.5" x14ac:dyDescent="0.3">
      <c r="A315" s="303">
        <v>3</v>
      </c>
      <c r="B315" s="303">
        <v>0.4</v>
      </c>
      <c r="C315" s="297" t="s">
        <v>290</v>
      </c>
      <c r="D315" s="297" t="s">
        <v>432</v>
      </c>
      <c r="E315" s="298" t="s">
        <v>661</v>
      </c>
    </row>
    <row r="316" spans="1:5" ht="22.5" x14ac:dyDescent="0.3">
      <c r="A316" s="303">
        <v>4</v>
      </c>
      <c r="B316" s="303">
        <v>0.4</v>
      </c>
      <c r="C316" s="297" t="s">
        <v>290</v>
      </c>
      <c r="D316" s="297" t="s">
        <v>433</v>
      </c>
      <c r="E316" s="298" t="s">
        <v>661</v>
      </c>
    </row>
    <row r="317" spans="1:5" ht="22.5" x14ac:dyDescent="0.3">
      <c r="A317" s="303">
        <v>5</v>
      </c>
      <c r="B317" s="303">
        <v>0.4</v>
      </c>
      <c r="C317" s="297" t="s">
        <v>294</v>
      </c>
      <c r="D317" s="297" t="s">
        <v>434</v>
      </c>
      <c r="E317" s="298" t="s">
        <v>661</v>
      </c>
    </row>
    <row r="318" spans="1:5" ht="22.5" x14ac:dyDescent="0.3">
      <c r="A318" s="303">
        <v>6</v>
      </c>
      <c r="B318" s="303">
        <v>0.4</v>
      </c>
      <c r="C318" s="297" t="s">
        <v>294</v>
      </c>
      <c r="D318" s="297" t="s">
        <v>435</v>
      </c>
      <c r="E318" s="298" t="s">
        <v>661</v>
      </c>
    </row>
    <row r="319" spans="1:5" ht="22.5" x14ac:dyDescent="0.3">
      <c r="A319" s="532">
        <v>7</v>
      </c>
      <c r="B319" s="533">
        <v>0.4</v>
      </c>
      <c r="C319" s="308" t="s">
        <v>138</v>
      </c>
      <c r="D319" s="309"/>
      <c r="E319" s="298"/>
    </row>
    <row r="320" spans="1:5" ht="45" x14ac:dyDescent="0.3">
      <c r="A320" s="532"/>
      <c r="B320" s="533"/>
      <c r="C320" s="312" t="s">
        <v>436</v>
      </c>
      <c r="D320" s="312" t="s">
        <v>437</v>
      </c>
      <c r="E320" s="298" t="s">
        <v>672</v>
      </c>
    </row>
    <row r="321" spans="1:5" ht="22.5" x14ac:dyDescent="0.3">
      <c r="A321" s="303"/>
      <c r="B321" s="303">
        <f>SUM(B313:B320)</f>
        <v>2.8</v>
      </c>
      <c r="C321" s="297"/>
      <c r="D321" s="297"/>
      <c r="E321" s="298"/>
    </row>
    <row r="322" spans="1:5" ht="22.5" x14ac:dyDescent="0.3">
      <c r="A322" s="530" t="s">
        <v>438</v>
      </c>
      <c r="B322" s="530"/>
      <c r="C322" s="530"/>
      <c r="D322" s="530"/>
      <c r="E322" s="298"/>
    </row>
    <row r="323" spans="1:5" ht="22.5" x14ac:dyDescent="0.3">
      <c r="A323" s="303"/>
      <c r="B323" s="313"/>
      <c r="C323" s="308" t="s">
        <v>138</v>
      </c>
      <c r="D323" s="309"/>
      <c r="E323" s="298"/>
    </row>
    <row r="324" spans="1:5" ht="67.5" x14ac:dyDescent="0.3">
      <c r="A324" s="303">
        <v>1</v>
      </c>
      <c r="B324" s="313">
        <v>0.6</v>
      </c>
      <c r="C324" s="312" t="s">
        <v>439</v>
      </c>
      <c r="D324" s="312" t="s">
        <v>440</v>
      </c>
      <c r="E324" s="298" t="s">
        <v>672</v>
      </c>
    </row>
    <row r="325" spans="1:5" ht="45" x14ac:dyDescent="0.3">
      <c r="A325" s="303">
        <v>2</v>
      </c>
      <c r="B325" s="322">
        <v>0.6</v>
      </c>
      <c r="C325" s="323" t="s">
        <v>675</v>
      </c>
      <c r="D325" s="323"/>
      <c r="E325" s="298" t="s">
        <v>672</v>
      </c>
    </row>
    <row r="326" spans="1:5" ht="22.5" x14ac:dyDescent="0.3">
      <c r="A326" s="530" t="s">
        <v>441</v>
      </c>
      <c r="B326" s="530"/>
      <c r="C326" s="530"/>
      <c r="D326" s="530"/>
      <c r="E326" s="298"/>
    </row>
    <row r="327" spans="1:5" ht="22.5" x14ac:dyDescent="0.3">
      <c r="A327" s="530" t="s">
        <v>442</v>
      </c>
      <c r="B327" s="530"/>
      <c r="C327" s="530"/>
      <c r="D327" s="530"/>
      <c r="E327" s="298"/>
    </row>
    <row r="328" spans="1:5" ht="22.5" x14ac:dyDescent="0.3">
      <c r="A328" s="303"/>
      <c r="B328" s="303"/>
      <c r="C328" s="324" t="s">
        <v>136</v>
      </c>
      <c r="D328" s="325"/>
      <c r="E328" s="298"/>
    </row>
    <row r="329" spans="1:5" ht="22.5" x14ac:dyDescent="0.3">
      <c r="A329" s="303">
        <v>1</v>
      </c>
      <c r="B329" s="317">
        <v>1</v>
      </c>
      <c r="C329" s="297" t="s">
        <v>290</v>
      </c>
      <c r="D329" s="297" t="s">
        <v>443</v>
      </c>
      <c r="E329" s="298" t="s">
        <v>661</v>
      </c>
    </row>
    <row r="330" spans="1:5" ht="22.5" x14ac:dyDescent="0.3">
      <c r="A330" s="303">
        <v>2</v>
      </c>
      <c r="B330" s="317">
        <v>1</v>
      </c>
      <c r="C330" s="297" t="s">
        <v>282</v>
      </c>
      <c r="D330" s="297" t="s">
        <v>444</v>
      </c>
      <c r="E330" s="298" t="s">
        <v>661</v>
      </c>
    </row>
    <row r="331" spans="1:5" ht="22.5" x14ac:dyDescent="0.3">
      <c r="A331" s="303"/>
      <c r="B331" s="317"/>
      <c r="C331" s="324" t="s">
        <v>140</v>
      </c>
      <c r="D331" s="325"/>
      <c r="E331" s="298"/>
    </row>
    <row r="332" spans="1:5" ht="67.5" x14ac:dyDescent="0.3">
      <c r="A332" s="303">
        <v>3</v>
      </c>
      <c r="B332" s="317">
        <v>1</v>
      </c>
      <c r="C332" s="297" t="s">
        <v>445</v>
      </c>
      <c r="D332" s="297" t="s">
        <v>446</v>
      </c>
      <c r="E332" s="298" t="s">
        <v>672</v>
      </c>
    </row>
    <row r="333" spans="1:5" ht="22.5" x14ac:dyDescent="0.3">
      <c r="A333" s="303"/>
      <c r="B333" s="321"/>
      <c r="C333" s="324" t="s">
        <v>138</v>
      </c>
      <c r="D333" s="325"/>
      <c r="E333" s="298"/>
    </row>
    <row r="334" spans="1:5" ht="45" x14ac:dyDescent="0.3">
      <c r="A334" s="303">
        <v>4</v>
      </c>
      <c r="B334" s="321">
        <v>1</v>
      </c>
      <c r="C334" s="312" t="s">
        <v>439</v>
      </c>
      <c r="D334" s="312" t="s">
        <v>447</v>
      </c>
      <c r="E334" s="298" t="s">
        <v>672</v>
      </c>
    </row>
    <row r="335" spans="1:5" ht="45" x14ac:dyDescent="0.3">
      <c r="A335" s="303">
        <v>5</v>
      </c>
      <c r="B335" s="321">
        <v>1</v>
      </c>
      <c r="C335" s="312" t="s">
        <v>439</v>
      </c>
      <c r="D335" s="312" t="s">
        <v>448</v>
      </c>
      <c r="E335" s="298" t="s">
        <v>672</v>
      </c>
    </row>
    <row r="336" spans="1:5" ht="67.5" x14ac:dyDescent="0.3">
      <c r="A336" s="303">
        <v>6</v>
      </c>
      <c r="B336" s="321">
        <v>1</v>
      </c>
      <c r="C336" s="312" t="s">
        <v>439</v>
      </c>
      <c r="D336" s="312" t="s">
        <v>449</v>
      </c>
      <c r="E336" s="298" t="s">
        <v>672</v>
      </c>
    </row>
    <row r="337" spans="1:5" ht="67.5" x14ac:dyDescent="0.3">
      <c r="A337" s="303">
        <v>7</v>
      </c>
      <c r="B337" s="321">
        <v>1</v>
      </c>
      <c r="C337" s="312" t="s">
        <v>450</v>
      </c>
      <c r="D337" s="312" t="s">
        <v>451</v>
      </c>
      <c r="E337" s="298" t="s">
        <v>672</v>
      </c>
    </row>
    <row r="338" spans="1:5" ht="67.5" x14ac:dyDescent="0.3">
      <c r="A338" s="303">
        <v>8</v>
      </c>
      <c r="B338" s="321">
        <v>1</v>
      </c>
      <c r="C338" s="312" t="s">
        <v>452</v>
      </c>
      <c r="D338" s="312" t="s">
        <v>453</v>
      </c>
      <c r="E338" s="298" t="s">
        <v>672</v>
      </c>
    </row>
    <row r="339" spans="1:5" ht="67.5" x14ac:dyDescent="0.3">
      <c r="A339" s="303">
        <v>9</v>
      </c>
      <c r="B339" s="321">
        <v>1</v>
      </c>
      <c r="C339" s="312" t="s">
        <v>454</v>
      </c>
      <c r="D339" s="312" t="s">
        <v>455</v>
      </c>
      <c r="E339" s="298" t="s">
        <v>672</v>
      </c>
    </row>
    <row r="340" spans="1:5" ht="22.5" x14ac:dyDescent="0.55000000000000004">
      <c r="A340" s="326"/>
      <c r="B340" s="327">
        <f>SUM(B328:B339)</f>
        <v>9</v>
      </c>
      <c r="C340" s="326"/>
      <c r="D340" s="326"/>
      <c r="E340" s="298"/>
    </row>
  </sheetData>
  <mergeCells count="91">
    <mergeCell ref="E252:E254"/>
    <mergeCell ref="A5:A6"/>
    <mergeCell ref="B5:B6"/>
    <mergeCell ref="A7:A8"/>
    <mergeCell ref="B7:B8"/>
    <mergeCell ref="A145:A146"/>
    <mergeCell ref="B145:B146"/>
    <mergeCell ref="A147:A148"/>
    <mergeCell ref="B147:B148"/>
    <mergeCell ref="A119:D119"/>
    <mergeCell ref="B120:D120"/>
    <mergeCell ref="A121:A122"/>
    <mergeCell ref="B121:B122"/>
    <mergeCell ref="C164:C165"/>
    <mergeCell ref="A151:A152"/>
    <mergeCell ref="B151:B152"/>
    <mergeCell ref="A3:E3"/>
    <mergeCell ref="A4:E4"/>
    <mergeCell ref="D90:D92"/>
    <mergeCell ref="A36:A37"/>
    <mergeCell ref="B36:B37"/>
    <mergeCell ref="A13:A14"/>
    <mergeCell ref="B13:B14"/>
    <mergeCell ref="A88:A89"/>
    <mergeCell ref="B88:B89"/>
    <mergeCell ref="A90:A92"/>
    <mergeCell ref="B90:B92"/>
    <mergeCell ref="C90:C92"/>
    <mergeCell ref="E90:E92"/>
    <mergeCell ref="A153:A154"/>
    <mergeCell ref="B153:B154"/>
    <mergeCell ref="A156:D156"/>
    <mergeCell ref="A157:A158"/>
    <mergeCell ref="B157:B158"/>
    <mergeCell ref="A166:A167"/>
    <mergeCell ref="B166:B167"/>
    <mergeCell ref="A159:A160"/>
    <mergeCell ref="B159:B160"/>
    <mergeCell ref="A164:A165"/>
    <mergeCell ref="B164:B165"/>
    <mergeCell ref="A197:A198"/>
    <mergeCell ref="B197:B198"/>
    <mergeCell ref="C197:C198"/>
    <mergeCell ref="D197:D198"/>
    <mergeCell ref="A187:A188"/>
    <mergeCell ref="B187:B188"/>
    <mergeCell ref="A233:A234"/>
    <mergeCell ref="B233:B234"/>
    <mergeCell ref="A227:A228"/>
    <mergeCell ref="B227:B228"/>
    <mergeCell ref="A206:A207"/>
    <mergeCell ref="B206:B207"/>
    <mergeCell ref="D252:D254"/>
    <mergeCell ref="A241:A242"/>
    <mergeCell ref="B241:B242"/>
    <mergeCell ref="A237:A238"/>
    <mergeCell ref="B237:B238"/>
    <mergeCell ref="A240:D240"/>
    <mergeCell ref="A268:A269"/>
    <mergeCell ref="A258:A259"/>
    <mergeCell ref="B258:B259"/>
    <mergeCell ref="C258:C259"/>
    <mergeCell ref="A252:A254"/>
    <mergeCell ref="B252:B254"/>
    <mergeCell ref="C252:C254"/>
    <mergeCell ref="A285:A286"/>
    <mergeCell ref="B285:B286"/>
    <mergeCell ref="A276:A277"/>
    <mergeCell ref="B276:B277"/>
    <mergeCell ref="A278:D278"/>
    <mergeCell ref="B301:B302"/>
    <mergeCell ref="A290:A291"/>
    <mergeCell ref="B290:B291"/>
    <mergeCell ref="A292:A293"/>
    <mergeCell ref="B292:B293"/>
    <mergeCell ref="A326:D326"/>
    <mergeCell ref="A327:D327"/>
    <mergeCell ref="A264:A265"/>
    <mergeCell ref="B264:B265"/>
    <mergeCell ref="A279:A280"/>
    <mergeCell ref="A309:D309"/>
    <mergeCell ref="A310:D310"/>
    <mergeCell ref="A311:D311"/>
    <mergeCell ref="A319:A320"/>
    <mergeCell ref="B319:B320"/>
    <mergeCell ref="A322:D322"/>
    <mergeCell ref="A303:A304"/>
    <mergeCell ref="B303:B304"/>
    <mergeCell ref="A298:D298"/>
    <mergeCell ref="A299:A300"/>
    <mergeCell ref="A301:A302"/>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85" zoomScaleNormal="85" workbookViewId="0">
      <selection activeCell="L3" sqref="L3:N3"/>
    </sheetView>
  </sheetViews>
  <sheetFormatPr defaultColWidth="9.08984375" defaultRowHeight="24.75" x14ac:dyDescent="0.6"/>
  <cols>
    <col min="1" max="1" width="2.90625" style="349" customWidth="1"/>
    <col min="2" max="2" width="37.1796875" style="328" customWidth="1"/>
    <col min="3" max="3" width="5.08984375" style="328" bestFit="1" customWidth="1"/>
    <col min="4" max="4" width="5.1796875" style="328" customWidth="1"/>
    <col min="5" max="5" width="5.08984375" style="328" customWidth="1"/>
    <col min="6" max="6" width="4.90625" style="328" customWidth="1"/>
    <col min="7" max="7" width="7.08984375" style="328" customWidth="1"/>
    <col min="8" max="8" width="6.54296875" style="328" customWidth="1"/>
    <col min="9" max="9" width="6.54296875" style="328" bestFit="1" customWidth="1"/>
    <col min="10" max="11" width="6.81640625" style="328" customWidth="1"/>
    <col min="12" max="12" width="5.1796875" style="328" customWidth="1"/>
    <col min="13" max="13" width="4.90625" style="328" customWidth="1"/>
    <col min="14" max="14" width="4.7265625" style="328" customWidth="1"/>
    <col min="15" max="15" width="6.81640625" style="328" customWidth="1"/>
    <col min="16" max="16" width="9.08984375" style="351"/>
    <col min="17" max="16384" width="9.08984375" style="328"/>
  </cols>
  <sheetData>
    <row r="1" spans="1:16" x14ac:dyDescent="0.6">
      <c r="A1" s="280" t="s">
        <v>822</v>
      </c>
    </row>
    <row r="2" spans="1:16" ht="21" customHeight="1" x14ac:dyDescent="0.6">
      <c r="A2" s="567" t="s">
        <v>125</v>
      </c>
      <c r="B2" s="567" t="s">
        <v>49</v>
      </c>
      <c r="C2" s="588" t="s">
        <v>149</v>
      </c>
      <c r="D2" s="590" t="s">
        <v>667</v>
      </c>
      <c r="E2" s="590"/>
      <c r="F2" s="590"/>
      <c r="G2" s="590"/>
      <c r="H2" s="590"/>
      <c r="I2" s="590"/>
      <c r="J2" s="590"/>
      <c r="K2" s="590"/>
      <c r="L2" s="590"/>
      <c r="M2" s="590"/>
      <c r="N2" s="590"/>
      <c r="O2" s="590"/>
      <c r="P2" s="590"/>
    </row>
    <row r="3" spans="1:16" ht="39.6" customHeight="1" x14ac:dyDescent="0.6">
      <c r="A3" s="591"/>
      <c r="B3" s="591"/>
      <c r="C3" s="592"/>
      <c r="D3" s="590" t="s">
        <v>661</v>
      </c>
      <c r="E3" s="590"/>
      <c r="F3" s="590"/>
      <c r="G3" s="567" t="s">
        <v>660</v>
      </c>
      <c r="H3" s="567" t="s">
        <v>668</v>
      </c>
      <c r="I3" s="565" t="s">
        <v>663</v>
      </c>
      <c r="J3" s="565" t="s">
        <v>664</v>
      </c>
      <c r="K3" s="567" t="s">
        <v>665</v>
      </c>
      <c r="L3" s="558" t="s">
        <v>387</v>
      </c>
      <c r="M3" s="558"/>
      <c r="N3" s="558"/>
      <c r="O3" s="567" t="s">
        <v>148</v>
      </c>
      <c r="P3" s="593" t="s">
        <v>669</v>
      </c>
    </row>
    <row r="4" spans="1:16" ht="31.5" x14ac:dyDescent="0.6">
      <c r="A4" s="568"/>
      <c r="B4" s="568"/>
      <c r="C4" s="589"/>
      <c r="D4" s="329" t="s">
        <v>658</v>
      </c>
      <c r="E4" s="329" t="s">
        <v>659</v>
      </c>
      <c r="F4" s="330" t="s">
        <v>131</v>
      </c>
      <c r="G4" s="568"/>
      <c r="H4" s="568"/>
      <c r="I4" s="566"/>
      <c r="J4" s="566"/>
      <c r="K4" s="568"/>
      <c r="L4" s="329" t="s">
        <v>658</v>
      </c>
      <c r="M4" s="329" t="s">
        <v>666</v>
      </c>
      <c r="N4" s="330" t="s">
        <v>131</v>
      </c>
      <c r="O4" s="568"/>
      <c r="P4" s="593"/>
    </row>
    <row r="5" spans="1:16" ht="21" customHeight="1" x14ac:dyDescent="0.6">
      <c r="A5" s="569" t="s">
        <v>639</v>
      </c>
      <c r="B5" s="569"/>
      <c r="C5" s="569"/>
      <c r="D5" s="569"/>
      <c r="E5" s="569"/>
      <c r="F5" s="569"/>
      <c r="G5" s="569"/>
      <c r="H5" s="569"/>
      <c r="I5" s="569"/>
      <c r="J5" s="569"/>
      <c r="K5" s="569"/>
      <c r="L5" s="569"/>
      <c r="M5" s="569"/>
      <c r="N5" s="569"/>
      <c r="O5" s="569"/>
      <c r="P5" s="569"/>
    </row>
    <row r="6" spans="1:16" ht="45" x14ac:dyDescent="0.6">
      <c r="A6" s="352">
        <v>1</v>
      </c>
      <c r="B6" s="353" t="s">
        <v>640</v>
      </c>
      <c r="C6" s="354">
        <v>0.2</v>
      </c>
      <c r="D6" s="355">
        <f>SUM('2.3-1'!B88:B89,'2.3-1'!B90:B92,'2.3-1'!B93,'2.3-1'!B94,'2.3-1'!B95,'2.3-1'!B96,'2.3-1'!B97,'2.3-1'!B98,'2.3-1'!B99,'2.3-1'!B100,'2.3-1'!B101,'2.3-1'!B102,'2.3-1'!B103,'2.3-1'!B104,'2.3-1'!B105,'2.3-1'!B106,'2.3-1'!B107,'2.3-1'!B108,'2.3-1'!B109,'2.3-1'!B110,'2.3-1'!B111,'2.3-1'!B112,'2.3-1'!B115,'2.3-1'!B116,'2.3-1'!B117)</f>
        <v>5.0000000000000018</v>
      </c>
      <c r="E6" s="356">
        <f>SUM('2.3-1'!B113,'2.3-1'!B114)</f>
        <v>0.4</v>
      </c>
      <c r="F6" s="357">
        <f>SUM(D6:E6)</f>
        <v>5.4000000000000021</v>
      </c>
      <c r="G6" s="358">
        <f>SUM('2.3-1'!B7:B12)</f>
        <v>1</v>
      </c>
      <c r="H6" s="356">
        <f>SUM('2.3-1'!B5:B6)</f>
        <v>0.2</v>
      </c>
      <c r="I6" s="358">
        <v>0</v>
      </c>
      <c r="J6" s="358">
        <f>SUM('2.3-1'!B13:B31)</f>
        <v>3.600000000000001</v>
      </c>
      <c r="K6" s="358">
        <f>SUM('2.3-1'!B36:B87)</f>
        <v>10.199999999999996</v>
      </c>
      <c r="L6" s="358">
        <v>0</v>
      </c>
      <c r="M6" s="358">
        <f>SUM('2.3-1'!B32:B35)</f>
        <v>0.8</v>
      </c>
      <c r="N6" s="348">
        <f>SUM(L6:M6)</f>
        <v>0.8</v>
      </c>
      <c r="O6" s="358">
        <v>0</v>
      </c>
      <c r="P6" s="358">
        <f>SUM(F6,G6,H6,I6,J6,K6,N6)</f>
        <v>21.2</v>
      </c>
    </row>
    <row r="7" spans="1:16" ht="180" x14ac:dyDescent="0.6">
      <c r="A7" s="532">
        <v>2</v>
      </c>
      <c r="B7" s="337" t="s">
        <v>641</v>
      </c>
      <c r="C7" s="567">
        <v>0.4</v>
      </c>
      <c r="D7" s="588">
        <f>SUM('2.3-1'!B121:B144)</f>
        <v>9.2000000000000028</v>
      </c>
      <c r="E7" s="570">
        <v>0</v>
      </c>
      <c r="F7" s="572">
        <f>SUM(D7:E8)</f>
        <v>9.2000000000000028</v>
      </c>
      <c r="G7" s="553">
        <f>SUM('2.3-1'!B147:B150)</f>
        <v>1.2000000000000002</v>
      </c>
      <c r="H7" s="570">
        <f>SUM('2.3-1'!B145:B146)</f>
        <v>0.4</v>
      </c>
      <c r="I7" s="553">
        <v>0</v>
      </c>
      <c r="J7" s="553">
        <f>SUM('2.3-1'!B153:B154)</f>
        <v>0.4</v>
      </c>
      <c r="K7" s="553">
        <v>0</v>
      </c>
      <c r="L7" s="553">
        <v>0</v>
      </c>
      <c r="M7" s="553">
        <f>SUM('2.3-1'!B151:B152)</f>
        <v>0.4</v>
      </c>
      <c r="N7" s="551">
        <f>SUM(L7:M8)</f>
        <v>0.4</v>
      </c>
      <c r="O7" s="553">
        <v>0</v>
      </c>
      <c r="P7" s="553">
        <f>SUM(N7,K7,J7,I7,H7,G7,F7)</f>
        <v>11.600000000000003</v>
      </c>
    </row>
    <row r="8" spans="1:16" x14ac:dyDescent="0.6">
      <c r="A8" s="532"/>
      <c r="B8" s="337" t="s">
        <v>257</v>
      </c>
      <c r="C8" s="568"/>
      <c r="D8" s="589"/>
      <c r="E8" s="571"/>
      <c r="F8" s="573"/>
      <c r="G8" s="554"/>
      <c r="H8" s="571"/>
      <c r="I8" s="554"/>
      <c r="J8" s="554"/>
      <c r="K8" s="554"/>
      <c r="L8" s="554"/>
      <c r="M8" s="554"/>
      <c r="N8" s="552"/>
      <c r="O8" s="554"/>
      <c r="P8" s="554"/>
    </row>
    <row r="9" spans="1:16" ht="45" x14ac:dyDescent="0.6">
      <c r="A9" s="352">
        <v>3</v>
      </c>
      <c r="B9" s="359" t="s">
        <v>642</v>
      </c>
      <c r="C9" s="354">
        <v>0.6</v>
      </c>
      <c r="D9" s="355">
        <f>SUM('2.3-1'!B166:B167,'2.3-1'!B168,'2.3-1'!B169,'2.3-1'!B170,'2.3-1'!B171,'2.3-1'!B172,'2.3-1'!B173,'2.3-1'!B174,'2.3-1'!B175,'2.3-1'!B176,'2.3-1'!B177,'2.3-1'!B179,'2.3-1'!B180,'2.3-1'!B181,'2.3-1'!B183,'2.3-1'!B184,'2.3-1'!B185,'2.3-1'!B186)</f>
        <v>10.799999999999997</v>
      </c>
      <c r="E9" s="356">
        <f>SUM('2.3-1'!B182,'2.3-1'!B178)</f>
        <v>1.2</v>
      </c>
      <c r="F9" s="357">
        <f>SUM(D9:E9)</f>
        <v>11.999999999999996</v>
      </c>
      <c r="G9" s="358">
        <f>SUM('2.3-1'!B159:B165)</f>
        <v>3</v>
      </c>
      <c r="H9" s="356">
        <f>SUM('2.3-1'!B233:B236)</f>
        <v>1.7999999999999998</v>
      </c>
      <c r="I9" s="358">
        <f>SUM('2.3-1'!B227:B232)</f>
        <v>3</v>
      </c>
      <c r="J9" s="358">
        <f>SUM('2.3-1'!B206:B226)</f>
        <v>11.999999999999996</v>
      </c>
      <c r="K9" s="358">
        <f>SUM('2.3-1'!B157:B158)</f>
        <v>0.6</v>
      </c>
      <c r="L9" s="358">
        <f>SUM('2.3-1'!B197:B198)</f>
        <v>0.6</v>
      </c>
      <c r="M9" s="358">
        <f>SUM('2.3-1'!B187:B188,'2.3-1'!B189,'2.3-1'!B190,'2.3-1'!B191,'2.3-1'!B192,'2.3-1'!B193,'2.3-1'!B194,'2.3-1'!B195,'2.3-1'!B196,'2.3-1'!B199,'2.3-1'!B200,'2.3-1'!B201,'2.3-1'!B202,'2.3-1'!B203,'2.3-1'!B204,'2.3-1'!B205)</f>
        <v>9.5999999999999979</v>
      </c>
      <c r="N9" s="348">
        <f>SUM(L9:M9)</f>
        <v>10.199999999999998</v>
      </c>
      <c r="O9" s="358">
        <f>SUM('2.3-1'!B237:B238)</f>
        <v>0.6</v>
      </c>
      <c r="P9" s="358">
        <f>SUM(F9,G9,H9,I9,J9,K9,N9,O9)</f>
        <v>43.199999999999989</v>
      </c>
    </row>
    <row r="10" spans="1:16" ht="180" x14ac:dyDescent="0.6">
      <c r="A10" s="303">
        <v>4</v>
      </c>
      <c r="B10" s="337" t="s">
        <v>643</v>
      </c>
      <c r="C10" s="331">
        <v>0.8</v>
      </c>
      <c r="D10" s="332">
        <f>SUM('2.3-1'!B241:B242,'2.3-1'!B243,'2.3-1'!B244,'2.3-1'!B245)</f>
        <v>3.2</v>
      </c>
      <c r="E10" s="333">
        <f>SUM('2.3-1'!B246:B248)</f>
        <v>2.4000000000000004</v>
      </c>
      <c r="F10" s="334">
        <f>SUM(D10:E10)</f>
        <v>5.6000000000000005</v>
      </c>
      <c r="G10" s="335">
        <v>0</v>
      </c>
      <c r="H10" s="333">
        <v>0</v>
      </c>
      <c r="I10" s="335">
        <f>SUM('2.3-1'!B276:B277)</f>
        <v>0.8</v>
      </c>
      <c r="J10" s="335">
        <f>SUM('2.3-1'!B269:B275)</f>
        <v>5.6</v>
      </c>
      <c r="K10" s="335">
        <f>SUM('2.3-1'!B264:B267)</f>
        <v>2.4000000000000004</v>
      </c>
      <c r="L10" s="335">
        <f>SUM('2.3-1'!B261,'2.3-1'!B262)</f>
        <v>1.6</v>
      </c>
      <c r="M10" s="335">
        <f>SUM('2.3-1'!B250:B260,'2.3-1'!B263)</f>
        <v>7.1999999999999993</v>
      </c>
      <c r="N10" s="336">
        <f>SUM(L10:M10)</f>
        <v>8.7999999999999989</v>
      </c>
      <c r="O10" s="335">
        <v>0</v>
      </c>
      <c r="P10" s="350">
        <f>SUM(F10,G10,H10,J10,I10,K10,N10,O10)</f>
        <v>23.2</v>
      </c>
    </row>
    <row r="11" spans="1:16" ht="112.5" x14ac:dyDescent="0.6">
      <c r="A11" s="586">
        <v>5</v>
      </c>
      <c r="B11" s="359" t="s">
        <v>644</v>
      </c>
      <c r="C11" s="587">
        <v>1</v>
      </c>
      <c r="D11" s="578">
        <f>SUM('2.3-1'!B285:B286,'2.3-1'!B287,'2.3-1'!B288,'2.3-1'!B289,'2.3-1'!B301:B302)</f>
        <v>5</v>
      </c>
      <c r="E11" s="574">
        <v>0</v>
      </c>
      <c r="F11" s="581">
        <f>SUM(D11:E17)</f>
        <v>5</v>
      </c>
      <c r="G11" s="548">
        <f>SUM('2.3-1'!B280:B284)</f>
        <v>5</v>
      </c>
      <c r="H11" s="574">
        <v>0</v>
      </c>
      <c r="I11" s="548">
        <f>SUM('2.3-1'!B303:B307)</f>
        <v>4</v>
      </c>
      <c r="J11" s="548">
        <f>SUM('2.3-1'!B292:B296)</f>
        <v>4</v>
      </c>
      <c r="K11" s="548">
        <f>SUM('2.3-1'!B300)</f>
        <v>1</v>
      </c>
      <c r="L11" s="574">
        <v>0</v>
      </c>
      <c r="M11" s="574">
        <v>0</v>
      </c>
      <c r="N11" s="555">
        <f>SUM(L11:M17)</f>
        <v>0</v>
      </c>
      <c r="O11" s="548">
        <v>0</v>
      </c>
      <c r="P11" s="548">
        <f>SUM(N11,K11,I11,J11,H11,G11,F11)</f>
        <v>19</v>
      </c>
    </row>
    <row r="12" spans="1:16" x14ac:dyDescent="0.6">
      <c r="A12" s="586"/>
      <c r="B12" s="359" t="s">
        <v>645</v>
      </c>
      <c r="C12" s="587"/>
      <c r="D12" s="579"/>
      <c r="E12" s="549"/>
      <c r="F12" s="582"/>
      <c r="G12" s="584"/>
      <c r="H12" s="549"/>
      <c r="I12" s="549"/>
      <c r="J12" s="549"/>
      <c r="K12" s="549"/>
      <c r="L12" s="549"/>
      <c r="M12" s="549"/>
      <c r="N12" s="556"/>
      <c r="O12" s="549"/>
      <c r="P12" s="549"/>
    </row>
    <row r="13" spans="1:16" ht="45" x14ac:dyDescent="0.6">
      <c r="A13" s="586"/>
      <c r="B13" s="359" t="s">
        <v>646</v>
      </c>
      <c r="C13" s="587"/>
      <c r="D13" s="579"/>
      <c r="E13" s="549"/>
      <c r="F13" s="582"/>
      <c r="G13" s="584"/>
      <c r="H13" s="549"/>
      <c r="I13" s="549"/>
      <c r="J13" s="549"/>
      <c r="K13" s="549"/>
      <c r="L13" s="549"/>
      <c r="M13" s="549"/>
      <c r="N13" s="556"/>
      <c r="O13" s="549"/>
      <c r="P13" s="549"/>
    </row>
    <row r="14" spans="1:16" x14ac:dyDescent="0.6">
      <c r="A14" s="586"/>
      <c r="B14" s="359" t="s">
        <v>647</v>
      </c>
      <c r="C14" s="587"/>
      <c r="D14" s="579"/>
      <c r="E14" s="549"/>
      <c r="F14" s="582"/>
      <c r="G14" s="584"/>
      <c r="H14" s="549"/>
      <c r="I14" s="549"/>
      <c r="J14" s="549"/>
      <c r="K14" s="549"/>
      <c r="L14" s="549"/>
      <c r="M14" s="549"/>
      <c r="N14" s="556"/>
      <c r="O14" s="549"/>
      <c r="P14" s="549"/>
    </row>
    <row r="15" spans="1:16" x14ac:dyDescent="0.6">
      <c r="A15" s="586"/>
      <c r="B15" s="359" t="s">
        <v>648</v>
      </c>
      <c r="C15" s="587"/>
      <c r="D15" s="579"/>
      <c r="E15" s="549"/>
      <c r="F15" s="582"/>
      <c r="G15" s="584"/>
      <c r="H15" s="549"/>
      <c r="I15" s="549"/>
      <c r="J15" s="549"/>
      <c r="K15" s="549"/>
      <c r="L15" s="549"/>
      <c r="M15" s="549"/>
      <c r="N15" s="556"/>
      <c r="O15" s="549"/>
      <c r="P15" s="549"/>
    </row>
    <row r="16" spans="1:16" ht="45" x14ac:dyDescent="0.6">
      <c r="A16" s="586"/>
      <c r="B16" s="359" t="s">
        <v>649</v>
      </c>
      <c r="C16" s="587"/>
      <c r="D16" s="579"/>
      <c r="E16" s="549"/>
      <c r="F16" s="582"/>
      <c r="G16" s="584"/>
      <c r="H16" s="549"/>
      <c r="I16" s="549"/>
      <c r="J16" s="549"/>
      <c r="K16" s="549"/>
      <c r="L16" s="549"/>
      <c r="M16" s="549"/>
      <c r="N16" s="556"/>
      <c r="O16" s="549"/>
      <c r="P16" s="549"/>
    </row>
    <row r="17" spans="1:16" ht="45" x14ac:dyDescent="0.6">
      <c r="A17" s="586"/>
      <c r="B17" s="359" t="s">
        <v>650</v>
      </c>
      <c r="C17" s="587"/>
      <c r="D17" s="580"/>
      <c r="E17" s="550"/>
      <c r="F17" s="583"/>
      <c r="G17" s="585"/>
      <c r="H17" s="550"/>
      <c r="I17" s="550"/>
      <c r="J17" s="550"/>
      <c r="K17" s="550"/>
      <c r="L17" s="550"/>
      <c r="M17" s="550"/>
      <c r="N17" s="557"/>
      <c r="O17" s="550"/>
      <c r="P17" s="550"/>
    </row>
    <row r="18" spans="1:16" ht="21" customHeight="1" x14ac:dyDescent="0.6">
      <c r="A18" s="575" t="s">
        <v>427</v>
      </c>
      <c r="B18" s="576"/>
      <c r="C18" s="576"/>
      <c r="D18" s="576"/>
      <c r="E18" s="576"/>
      <c r="F18" s="576"/>
      <c r="G18" s="576"/>
      <c r="H18" s="576"/>
      <c r="I18" s="576"/>
      <c r="J18" s="576"/>
      <c r="K18" s="576"/>
      <c r="L18" s="576"/>
      <c r="M18" s="576"/>
      <c r="N18" s="577"/>
      <c r="O18" s="338"/>
      <c r="P18" s="339"/>
    </row>
    <row r="19" spans="1:16" ht="45" x14ac:dyDescent="0.6">
      <c r="A19" s="303">
        <v>6</v>
      </c>
      <c r="B19" s="337" t="s">
        <v>651</v>
      </c>
      <c r="C19" s="331">
        <v>0.2</v>
      </c>
      <c r="D19" s="332">
        <v>0</v>
      </c>
      <c r="E19" s="333">
        <v>0</v>
      </c>
      <c r="F19" s="334">
        <f t="shared" ref="F19:F24" si="0">SUM(D19:E19)</f>
        <v>0</v>
      </c>
      <c r="G19" s="333">
        <v>0</v>
      </c>
      <c r="H19" s="339">
        <v>0</v>
      </c>
      <c r="I19" s="333">
        <v>0</v>
      </c>
      <c r="J19" s="333">
        <v>0</v>
      </c>
      <c r="K19" s="333">
        <v>0</v>
      </c>
      <c r="L19" s="333">
        <v>0</v>
      </c>
      <c r="M19" s="333">
        <v>0</v>
      </c>
      <c r="N19" s="336">
        <f>SUM(L19:M19)</f>
        <v>0</v>
      </c>
      <c r="O19" s="333">
        <v>0</v>
      </c>
      <c r="P19" s="335">
        <f>SUM(N19,K19,J19,I19,H19,G19,F19)</f>
        <v>0</v>
      </c>
    </row>
    <row r="20" spans="1:16" x14ac:dyDescent="0.6">
      <c r="A20" s="352">
        <v>7</v>
      </c>
      <c r="B20" s="359" t="s">
        <v>652</v>
      </c>
      <c r="C20" s="354">
        <v>0.4</v>
      </c>
      <c r="D20" s="355">
        <v>0</v>
      </c>
      <c r="E20" s="356">
        <v>0</v>
      </c>
      <c r="F20" s="357">
        <f t="shared" si="0"/>
        <v>0</v>
      </c>
      <c r="G20" s="360">
        <f>SUM('2.3-1'!B313:B318)</f>
        <v>2.4</v>
      </c>
      <c r="H20" s="360">
        <v>0</v>
      </c>
      <c r="I20" s="356">
        <f>SUM('2.3-1'!B319:B320)</f>
        <v>0.4</v>
      </c>
      <c r="J20" s="356">
        <v>0</v>
      </c>
      <c r="K20" s="356">
        <v>0</v>
      </c>
      <c r="L20" s="356">
        <v>0</v>
      </c>
      <c r="M20" s="356">
        <v>0</v>
      </c>
      <c r="N20" s="348">
        <f>SUM(L20:M20)</f>
        <v>0</v>
      </c>
      <c r="O20" s="356">
        <v>0</v>
      </c>
      <c r="P20" s="358">
        <f t="shared" ref="P20:P23" si="1">SUM(N20,K20,J20,I20,H20,G20,F20)</f>
        <v>2.8</v>
      </c>
    </row>
    <row r="21" spans="1:16" x14ac:dyDescent="0.6">
      <c r="A21" s="303">
        <v>8</v>
      </c>
      <c r="B21" s="337" t="s">
        <v>653</v>
      </c>
      <c r="C21" s="331">
        <v>0.6</v>
      </c>
      <c r="D21" s="332">
        <v>0</v>
      </c>
      <c r="E21" s="333">
        <v>0</v>
      </c>
      <c r="F21" s="334">
        <f t="shared" si="0"/>
        <v>0</v>
      </c>
      <c r="G21" s="339">
        <v>0</v>
      </c>
      <c r="H21" s="339">
        <v>0</v>
      </c>
      <c r="I21" s="340">
        <f>SUM('2.3-1'!B324:B325)</f>
        <v>1.2</v>
      </c>
      <c r="J21" s="333">
        <v>0</v>
      </c>
      <c r="K21" s="333">
        <v>0</v>
      </c>
      <c r="L21" s="333">
        <v>0</v>
      </c>
      <c r="M21" s="333">
        <v>0</v>
      </c>
      <c r="N21" s="336">
        <f>SUM(L21:M21)</f>
        <v>0</v>
      </c>
      <c r="O21" s="333">
        <v>0</v>
      </c>
      <c r="P21" s="335">
        <f t="shared" si="1"/>
        <v>1.2</v>
      </c>
    </row>
    <row r="22" spans="1:16" x14ac:dyDescent="0.6">
      <c r="A22" s="352">
        <v>9</v>
      </c>
      <c r="B22" s="359" t="s">
        <v>654</v>
      </c>
      <c r="C22" s="354">
        <v>0.8</v>
      </c>
      <c r="D22" s="355">
        <v>0</v>
      </c>
      <c r="E22" s="356">
        <v>0</v>
      </c>
      <c r="F22" s="357">
        <f t="shared" si="0"/>
        <v>0</v>
      </c>
      <c r="G22" s="360">
        <v>0</v>
      </c>
      <c r="H22" s="360">
        <v>0</v>
      </c>
      <c r="I22" s="356">
        <v>0</v>
      </c>
      <c r="J22" s="356">
        <v>0</v>
      </c>
      <c r="K22" s="356">
        <v>0</v>
      </c>
      <c r="L22" s="356">
        <v>0</v>
      </c>
      <c r="M22" s="356">
        <v>0</v>
      </c>
      <c r="N22" s="348">
        <f>SUM(L22:M22)</f>
        <v>0</v>
      </c>
      <c r="O22" s="356">
        <v>0</v>
      </c>
      <c r="P22" s="358">
        <f t="shared" si="1"/>
        <v>0</v>
      </c>
    </row>
    <row r="23" spans="1:16" x14ac:dyDescent="0.6">
      <c r="A23" s="303">
        <v>10</v>
      </c>
      <c r="B23" s="337" t="s">
        <v>655</v>
      </c>
      <c r="C23" s="341">
        <v>1</v>
      </c>
      <c r="D23" s="332">
        <v>0</v>
      </c>
      <c r="E23" s="333">
        <v>0</v>
      </c>
      <c r="F23" s="334">
        <f t="shared" si="0"/>
        <v>0</v>
      </c>
      <c r="G23" s="342">
        <f>SUM('2.3-1'!B329:B330)</f>
        <v>2</v>
      </c>
      <c r="H23" s="339">
        <v>0</v>
      </c>
      <c r="I23" s="335">
        <f>SUM('2.3-1'!B334:B339)</f>
        <v>6</v>
      </c>
      <c r="J23" s="333">
        <v>0</v>
      </c>
      <c r="K23" s="335">
        <f>SUM('2.3-1'!B332)</f>
        <v>1</v>
      </c>
      <c r="L23" s="333">
        <v>0</v>
      </c>
      <c r="M23" s="333">
        <v>0</v>
      </c>
      <c r="N23" s="336"/>
      <c r="O23" s="335">
        <v>0</v>
      </c>
      <c r="P23" s="335">
        <f t="shared" si="1"/>
        <v>9</v>
      </c>
    </row>
    <row r="24" spans="1:16" x14ac:dyDescent="0.6">
      <c r="A24" s="352">
        <v>11</v>
      </c>
      <c r="B24" s="359" t="s">
        <v>656</v>
      </c>
      <c r="C24" s="361"/>
      <c r="D24" s="355">
        <v>77.5</v>
      </c>
      <c r="E24" s="356">
        <v>15.5</v>
      </c>
      <c r="F24" s="357">
        <f t="shared" si="0"/>
        <v>93</v>
      </c>
      <c r="G24" s="360">
        <v>35</v>
      </c>
      <c r="H24" s="360">
        <v>22.5</v>
      </c>
      <c r="I24" s="356">
        <v>77</v>
      </c>
      <c r="J24" s="356">
        <v>63.5</v>
      </c>
      <c r="K24" s="356">
        <v>57.5</v>
      </c>
      <c r="L24" s="356">
        <v>4</v>
      </c>
      <c r="M24" s="356">
        <v>22</v>
      </c>
      <c r="N24" s="348">
        <f>SUM(L24:M24)</f>
        <v>26</v>
      </c>
      <c r="O24" s="356">
        <v>0</v>
      </c>
      <c r="P24" s="358">
        <f>SUM(F24,G24,H24,I24,J24,K24,N24,O24)</f>
        <v>374.5</v>
      </c>
    </row>
    <row r="25" spans="1:16" x14ac:dyDescent="0.6">
      <c r="A25" s="303">
        <v>12</v>
      </c>
      <c r="B25" s="337" t="s">
        <v>657</v>
      </c>
      <c r="C25" s="343"/>
      <c r="D25" s="332">
        <v>0</v>
      </c>
      <c r="E25" s="333">
        <v>0</v>
      </c>
      <c r="F25" s="334">
        <f t="shared" ref="F25" si="2">SUM(D25:E25)</f>
        <v>0</v>
      </c>
      <c r="G25" s="339">
        <v>0</v>
      </c>
      <c r="H25" s="339">
        <v>0</v>
      </c>
      <c r="I25" s="333">
        <v>0</v>
      </c>
      <c r="J25" s="333">
        <v>0</v>
      </c>
      <c r="K25" s="333">
        <v>0</v>
      </c>
      <c r="L25" s="333">
        <v>0</v>
      </c>
      <c r="M25" s="333">
        <v>0</v>
      </c>
      <c r="N25" s="336">
        <f>SUM(L25:M25)</f>
        <v>0</v>
      </c>
      <c r="O25" s="333">
        <v>1</v>
      </c>
      <c r="P25" s="335">
        <f>SUM(F25,G25,H25,I25,J25,K25,N25,O25)</f>
        <v>1</v>
      </c>
    </row>
    <row r="26" spans="1:16" x14ac:dyDescent="0.6">
      <c r="A26" s="562" t="s">
        <v>674</v>
      </c>
      <c r="B26" s="563"/>
      <c r="C26" s="564"/>
      <c r="D26" s="344">
        <f t="shared" ref="D26:F26" si="3">SUM(D24:D25)</f>
        <v>77.5</v>
      </c>
      <c r="E26" s="344">
        <f t="shared" si="3"/>
        <v>15.5</v>
      </c>
      <c r="F26" s="345">
        <f t="shared" si="3"/>
        <v>93</v>
      </c>
      <c r="G26" s="344">
        <f>SUM(G24:G25)</f>
        <v>35</v>
      </c>
      <c r="H26" s="344">
        <f>SUM(H24:H25)</f>
        <v>22.5</v>
      </c>
      <c r="I26" s="344">
        <f t="shared" ref="I26:N26" si="4">SUM(I24:I25)</f>
        <v>77</v>
      </c>
      <c r="J26" s="344">
        <f t="shared" si="4"/>
        <v>63.5</v>
      </c>
      <c r="K26" s="344">
        <f t="shared" si="4"/>
        <v>57.5</v>
      </c>
      <c r="L26" s="344">
        <f t="shared" si="4"/>
        <v>4</v>
      </c>
      <c r="M26" s="344">
        <f t="shared" si="4"/>
        <v>22</v>
      </c>
      <c r="N26" s="345">
        <f t="shared" si="4"/>
        <v>26</v>
      </c>
      <c r="O26" s="344">
        <f>SUM(O24:O25)</f>
        <v>1</v>
      </c>
      <c r="P26" s="346">
        <f>SUM(P24:P25)</f>
        <v>375.5</v>
      </c>
    </row>
    <row r="27" spans="1:16" x14ac:dyDescent="0.6">
      <c r="A27" s="559" t="s">
        <v>673</v>
      </c>
      <c r="B27" s="560"/>
      <c r="C27" s="561"/>
      <c r="D27" s="347">
        <f t="shared" ref="D27:F27" si="5">SUM(D6,D7,D9,D10,D11,D19,D20,D21,D22,D23)</f>
        <v>33.200000000000003</v>
      </c>
      <c r="E27" s="347">
        <f t="shared" si="5"/>
        <v>4</v>
      </c>
      <c r="F27" s="348">
        <f t="shared" si="5"/>
        <v>37.200000000000003</v>
      </c>
      <c r="G27" s="348">
        <f>SUM(G6,G7,G9,G10,G11,G19,G20,G21,G22,G23)</f>
        <v>14.6</v>
      </c>
      <c r="H27" s="348">
        <f>SUM(H6,H7,H9,H10,H11,H19,H20,H21,H22,H23)</f>
        <v>2.4</v>
      </c>
      <c r="I27" s="348">
        <f>SUM(I6,I7,I9,I10,I11,I19,I20,I21,I22,I23)</f>
        <v>15.399999999999999</v>
      </c>
      <c r="J27" s="348">
        <f t="shared" ref="J27:N27" si="6">SUM(J6,J7,J9,J10,J11,J19,J20,J21,J22,J23)</f>
        <v>25.599999999999994</v>
      </c>
      <c r="K27" s="348">
        <f t="shared" si="6"/>
        <v>15.199999999999996</v>
      </c>
      <c r="L27" s="347">
        <f t="shared" si="6"/>
        <v>2.2000000000000002</v>
      </c>
      <c r="M27" s="347">
        <f t="shared" si="6"/>
        <v>17.999999999999996</v>
      </c>
      <c r="N27" s="348">
        <f t="shared" si="6"/>
        <v>20.199999999999996</v>
      </c>
      <c r="O27" s="348">
        <f t="shared" ref="O27" si="7">SUM(O6,O7,O9,O10,O11,O19,O20,O21,O22,O23)</f>
        <v>0.6</v>
      </c>
      <c r="P27" s="348">
        <f>SUM(F27+G27+H27+I27+J27+K27+N27+O27)</f>
        <v>131.19999999999996</v>
      </c>
    </row>
  </sheetData>
  <mergeCells count="47">
    <mergeCell ref="D3:F3"/>
    <mergeCell ref="A2:A4"/>
    <mergeCell ref="B2:B4"/>
    <mergeCell ref="C2:C4"/>
    <mergeCell ref="D2:P2"/>
    <mergeCell ref="P3:P4"/>
    <mergeCell ref="G3:G4"/>
    <mergeCell ref="H3:H4"/>
    <mergeCell ref="O3:O4"/>
    <mergeCell ref="A11:A17"/>
    <mergeCell ref="C11:C17"/>
    <mergeCell ref="A7:A8"/>
    <mergeCell ref="C7:C8"/>
    <mergeCell ref="D7:D8"/>
    <mergeCell ref="J7:J8"/>
    <mergeCell ref="K7:K8"/>
    <mergeCell ref="L7:L8"/>
    <mergeCell ref="M7:M8"/>
    <mergeCell ref="D11:D17"/>
    <mergeCell ref="E11:E17"/>
    <mergeCell ref="F11:F17"/>
    <mergeCell ref="G11:G17"/>
    <mergeCell ref="H11:H17"/>
    <mergeCell ref="I11:I17"/>
    <mergeCell ref="J11:J17"/>
    <mergeCell ref="A27:C27"/>
    <mergeCell ref="A26:C26"/>
    <mergeCell ref="I3:I4"/>
    <mergeCell ref="J3:J4"/>
    <mergeCell ref="K3:K4"/>
    <mergeCell ref="A5:P5"/>
    <mergeCell ref="P11:P17"/>
    <mergeCell ref="E7:E8"/>
    <mergeCell ref="F7:F8"/>
    <mergeCell ref="G7:G8"/>
    <mergeCell ref="H7:H8"/>
    <mergeCell ref="I7:I8"/>
    <mergeCell ref="K11:K17"/>
    <mergeCell ref="L11:L17"/>
    <mergeCell ref="M11:M17"/>
    <mergeCell ref="A18:N18"/>
    <mergeCell ref="O11:O17"/>
    <mergeCell ref="N7:N8"/>
    <mergeCell ref="P7:P8"/>
    <mergeCell ref="N11:N17"/>
    <mergeCell ref="L3:N3"/>
    <mergeCell ref="O7:O8"/>
  </mergeCells>
  <pageMargins left="0.7" right="0.7" top="0.75" bottom="0.75" header="0.3" footer="0.3"/>
  <pageSetup paperSize="9" orientation="portrait" horizontalDpi="4294967295" verticalDpi="4294967295" r:id="rId1"/>
  <ignoredErrors>
    <ignoredError sqref="G6:G7 G20 G9 G11 H26 H6:H9 I9:K9 I20 J6 I10:J11 J26 L26:M26 L9 K10 N19:N22 K6:M6 J8:N8 D7 E10 N24:N25 O9 O26 J7:M7 F25 F19:F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17</vt:i4>
      </vt:variant>
      <vt:variant>
        <vt:lpstr>ช่วงที่มีชื่อ</vt:lpstr>
      </vt:variant>
      <vt:variant>
        <vt:i4>8</vt:i4>
      </vt:variant>
    </vt:vector>
  </HeadingPairs>
  <TitlesOfParts>
    <vt:vector size="25" baseType="lpstr">
      <vt:lpstr>คะแนน</vt:lpstr>
      <vt:lpstr>1.1</vt:lpstr>
      <vt:lpstr>1.2</vt:lpstr>
      <vt:lpstr>1.3</vt:lpstr>
      <vt:lpstr>2.2 -1</vt:lpstr>
      <vt:lpstr>2.2-1</vt:lpstr>
      <vt:lpstr>2.2-2</vt:lpstr>
      <vt:lpstr>2.3-1</vt:lpstr>
      <vt:lpstr>2.3-2</vt:lpstr>
      <vt:lpstr>2.3-3</vt:lpstr>
      <vt:lpstr>5.2</vt:lpstr>
      <vt:lpstr>กรอกคะแนน</vt:lpstr>
      <vt:lpstr>สรุปตาราง 1</vt:lpstr>
      <vt:lpstr>สรุปตาราง 2</vt:lpstr>
      <vt:lpstr>2.2-2 (2)</vt:lpstr>
      <vt:lpstr>Sheet1</vt:lpstr>
      <vt:lpstr>Sheet3</vt:lpstr>
      <vt:lpstr>'1.1'!Print_Area</vt:lpstr>
      <vt:lpstr>'5.2'!Print_Area</vt:lpstr>
      <vt:lpstr>กรอกคะแนน!Print_Area</vt:lpstr>
      <vt:lpstr>'สรุปตาราง 1'!Print_Area</vt:lpstr>
      <vt:lpstr>'สรุปตาราง 2'!Print_Area</vt:lpstr>
      <vt:lpstr>'1.1'!Print_Titles</vt:lpstr>
      <vt:lpstr>กรอกคะแนน!Print_Titles</vt:lpstr>
      <vt:lpstr>'สรุปตาราง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VRU</dc:creator>
  <cp:lastModifiedBy>Jongrak_SQM</cp:lastModifiedBy>
  <cp:lastPrinted>2016-08-17T03:13:26Z</cp:lastPrinted>
  <dcterms:created xsi:type="dcterms:W3CDTF">2015-07-17T02:38:54Z</dcterms:created>
  <dcterms:modified xsi:type="dcterms:W3CDTF">2017-10-08T08:29:54Z</dcterms:modified>
</cp:coreProperties>
</file>